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21840" windowHeight="12210" activeTab="12"/>
  </bookViews>
  <sheets>
    <sheet name="Динамика" sheetId="15" r:id="rId1"/>
    <sheet name="2013" sheetId="1" r:id="rId2"/>
    <sheet name="2014" sheetId="2" r:id="rId3"/>
    <sheet name="2015" sheetId="3" r:id="rId4"/>
    <sheet name="2016" sheetId="4" r:id="rId5"/>
    <sheet name="2017" sheetId="5" r:id="rId6"/>
    <sheet name="2018" sheetId="6" r:id="rId7"/>
    <sheet name="2019" sheetId="7" r:id="rId8"/>
    <sheet name="2020" sheetId="8" r:id="rId9"/>
    <sheet name="2021" sheetId="11" r:id="rId10"/>
    <sheet name="2022" sheetId="12" r:id="rId11"/>
    <sheet name="2023" sheetId="13" r:id="rId12"/>
    <sheet name="2024" sheetId="14" r:id="rId13"/>
    <sheet name="2025" sheetId="22" r:id="rId14"/>
    <sheet name="2026" sheetId="23" r:id="rId15"/>
    <sheet name="2027" sheetId="21" r:id="rId16"/>
    <sheet name="Пустышка" sheetId="20" state="hidden" r:id="rId17"/>
  </sheets>
  <definedNames>
    <definedName name="_xlnm.Print_Area" localSheetId="6">'2018'!$A$1:$K$19</definedName>
    <definedName name="_xlnm.Print_Area" localSheetId="7">'2019'!$A$1:$K$42</definedName>
    <definedName name="_xlnm.Print_Area" localSheetId="8">'2020'!$A$1:$K$40</definedName>
    <definedName name="_xlnm.Print_Area" localSheetId="9">'2021'!$A$1:$K$37</definedName>
    <definedName name="_xlnm.Print_Area" localSheetId="10">'2022'!$A$1:$K$38</definedName>
    <definedName name="_xlnm.Print_Area" localSheetId="11">'2023'!$A$1:$K$36</definedName>
    <definedName name="_xlnm.Print_Area" localSheetId="12">'2024'!$A$1:$K$36</definedName>
    <definedName name="_xlnm.Print_Area" localSheetId="13">'2025'!$A$1:$K$36</definedName>
    <definedName name="_xlnm.Print_Area" localSheetId="14">'2026'!$A$1:$K$36</definedName>
    <definedName name="_xlnm.Print_Area" localSheetId="15">'2027'!$A$1:$K$36</definedName>
    <definedName name="_xlnm.Print_Area" localSheetId="16">Пустышка!$A$1:$K$36</definedName>
  </definedNames>
  <calcPr calcId="145621" refMode="R1C1"/>
</workbook>
</file>

<file path=xl/calcChain.xml><?xml version="1.0" encoding="utf-8"?>
<calcChain xmlns="http://schemas.openxmlformats.org/spreadsheetml/2006/main">
  <c r="G17" i="23" l="1"/>
  <c r="G16" i="23"/>
  <c r="G15" i="23"/>
  <c r="G14" i="23"/>
  <c r="C6" i="23" s="1"/>
  <c r="G13" i="23"/>
  <c r="N9" i="23"/>
  <c r="C8" i="23"/>
  <c r="D8" i="23" s="1"/>
  <c r="C7" i="23"/>
  <c r="B20" i="23" s="1"/>
  <c r="I5" i="23"/>
  <c r="J5" i="23" s="1"/>
  <c r="C5" i="23"/>
  <c r="D5" i="23" s="1"/>
  <c r="P3" i="23"/>
  <c r="B1" i="23"/>
  <c r="G17" i="22"/>
  <c r="G16" i="22"/>
  <c r="G15" i="22"/>
  <c r="G14" i="22"/>
  <c r="G13" i="22"/>
  <c r="N9" i="22"/>
  <c r="N11" i="22" s="1"/>
  <c r="C8" i="22"/>
  <c r="D8" i="22" s="1"/>
  <c r="C7" i="22"/>
  <c r="B20" i="22" s="1"/>
  <c r="C6" i="22"/>
  <c r="E6" i="22" s="1"/>
  <c r="I5" i="22"/>
  <c r="K5" i="22" s="1"/>
  <c r="C5" i="22"/>
  <c r="D5" i="22" s="1"/>
  <c r="P3" i="22"/>
  <c r="B1" i="22"/>
  <c r="G17" i="21"/>
  <c r="G16" i="21"/>
  <c r="G15" i="21"/>
  <c r="D15" i="21"/>
  <c r="D16" i="21" s="1"/>
  <c r="G14" i="21"/>
  <c r="G13" i="21"/>
  <c r="N9" i="21"/>
  <c r="C8" i="21"/>
  <c r="D8" i="21" s="1"/>
  <c r="C7" i="21"/>
  <c r="B20" i="21" s="1"/>
  <c r="C6" i="21"/>
  <c r="E6" i="21" s="1"/>
  <c r="I5" i="21"/>
  <c r="K5" i="21" s="1"/>
  <c r="C5" i="21"/>
  <c r="D5" i="21" s="1"/>
  <c r="P3" i="21"/>
  <c r="B1" i="21"/>
  <c r="G17" i="20"/>
  <c r="G16" i="20"/>
  <c r="G15" i="20"/>
  <c r="G14" i="20"/>
  <c r="C6" i="20" s="1"/>
  <c r="G13" i="20"/>
  <c r="N9" i="20"/>
  <c r="E8" i="20"/>
  <c r="C8" i="20"/>
  <c r="D8" i="20" s="1"/>
  <c r="E7" i="20"/>
  <c r="C7" i="20"/>
  <c r="B20" i="20" s="1"/>
  <c r="I5" i="20"/>
  <c r="K5" i="20" s="1"/>
  <c r="C5" i="20"/>
  <c r="D5" i="20" s="1"/>
  <c r="P3" i="20"/>
  <c r="B1" i="20"/>
  <c r="E5" i="23" l="1"/>
  <c r="D9" i="23"/>
  <c r="D11" i="23" s="1"/>
  <c r="C15" i="21"/>
  <c r="E6" i="23"/>
  <c r="D6" i="23"/>
  <c r="E8" i="23"/>
  <c r="D15" i="23"/>
  <c r="K5" i="23"/>
  <c r="N10" i="23"/>
  <c r="M11" i="23"/>
  <c r="N11" i="23"/>
  <c r="D7" i="23"/>
  <c r="D12" i="23"/>
  <c r="E7" i="23"/>
  <c r="D7" i="22"/>
  <c r="D12" i="22"/>
  <c r="E7" i="22"/>
  <c r="E5" i="22"/>
  <c r="E8" i="22"/>
  <c r="N10" i="22"/>
  <c r="D6" i="22"/>
  <c r="D9" i="22"/>
  <c r="J5" i="22"/>
  <c r="D15" i="22"/>
  <c r="M11" i="22"/>
  <c r="J5" i="21"/>
  <c r="N11" i="21"/>
  <c r="C17" i="21"/>
  <c r="D7" i="21"/>
  <c r="D17" i="21"/>
  <c r="E5" i="21"/>
  <c r="E8" i="21"/>
  <c r="D9" i="21"/>
  <c r="N10" i="21"/>
  <c r="C16" i="21"/>
  <c r="D6" i="21"/>
  <c r="M11" i="21"/>
  <c r="D12" i="21"/>
  <c r="E7" i="21"/>
  <c r="E5" i="20"/>
  <c r="D9" i="20"/>
  <c r="D10" i="20" s="1"/>
  <c r="E6" i="20"/>
  <c r="D6" i="20"/>
  <c r="J5" i="20"/>
  <c r="N10" i="20"/>
  <c r="D15" i="20"/>
  <c r="M11" i="20"/>
  <c r="N11" i="20"/>
  <c r="D7" i="20"/>
  <c r="D12" i="20"/>
  <c r="B25" i="14"/>
  <c r="P3" i="14"/>
  <c r="O3" i="13"/>
  <c r="D10" i="23" l="1"/>
  <c r="B25" i="21"/>
  <c r="B25" i="23"/>
  <c r="B25" i="22"/>
  <c r="D14" i="23"/>
  <c r="D13" i="23"/>
  <c r="D17" i="23"/>
  <c r="C17" i="23"/>
  <c r="C15" i="23"/>
  <c r="D16" i="23"/>
  <c r="C16" i="23"/>
  <c r="C17" i="22"/>
  <c r="C15" i="22"/>
  <c r="D16" i="22"/>
  <c r="C16" i="22"/>
  <c r="D17" i="22"/>
  <c r="D10" i="22"/>
  <c r="D11" i="22"/>
  <c r="D14" i="22"/>
  <c r="D13" i="22"/>
  <c r="D11" i="21"/>
  <c r="D10" i="21"/>
  <c r="D14" i="21"/>
  <c r="D13" i="21"/>
  <c r="D11" i="20"/>
  <c r="B25" i="20"/>
  <c r="D14" i="20"/>
  <c r="D13" i="20"/>
  <c r="D17" i="20"/>
  <c r="C17" i="20"/>
  <c r="D16" i="20"/>
  <c r="C15" i="20"/>
  <c r="C16" i="20"/>
  <c r="B1" i="6"/>
  <c r="B1" i="14"/>
  <c r="B1" i="13"/>
  <c r="B1" i="12"/>
  <c r="B1" i="11"/>
  <c r="B1" i="8"/>
  <c r="B1" i="7"/>
  <c r="N7" i="7"/>
  <c r="N9" i="7" s="1"/>
  <c r="C7" i="7"/>
  <c r="G17" i="14"/>
  <c r="G16" i="14"/>
  <c r="G15" i="14"/>
  <c r="G14" i="14"/>
  <c r="C6" i="14" s="1"/>
  <c r="D6" i="14" s="1"/>
  <c r="G13" i="14"/>
  <c r="C8" i="14"/>
  <c r="E8" i="14" s="1"/>
  <c r="N9" i="14"/>
  <c r="C7" i="14"/>
  <c r="I5" i="14"/>
  <c r="K5" i="14" s="1"/>
  <c r="C5" i="14"/>
  <c r="G17" i="13"/>
  <c r="G16" i="13"/>
  <c r="G15" i="13"/>
  <c r="G14" i="13"/>
  <c r="G13" i="13"/>
  <c r="C8" i="13"/>
  <c r="E8" i="13" s="1"/>
  <c r="N7" i="13"/>
  <c r="N9" i="13" s="1"/>
  <c r="C7" i="13"/>
  <c r="C6" i="13"/>
  <c r="D6" i="13" s="1"/>
  <c r="I5" i="13"/>
  <c r="K5" i="13" s="1"/>
  <c r="C5" i="13"/>
  <c r="G17" i="12"/>
  <c r="G16" i="12"/>
  <c r="G15" i="12"/>
  <c r="G14" i="12"/>
  <c r="G13" i="12"/>
  <c r="C8" i="12"/>
  <c r="D8" i="12" s="1"/>
  <c r="N7" i="12"/>
  <c r="N9" i="12" s="1"/>
  <c r="C7" i="12"/>
  <c r="D7" i="12" s="1"/>
  <c r="C6" i="12"/>
  <c r="E6" i="12" s="1"/>
  <c r="I5" i="12"/>
  <c r="K5" i="12" s="1"/>
  <c r="C5" i="12"/>
  <c r="G17" i="11"/>
  <c r="G16" i="11"/>
  <c r="G15" i="11"/>
  <c r="G14" i="11"/>
  <c r="C6" i="11" s="1"/>
  <c r="E6" i="11" s="1"/>
  <c r="G13" i="11"/>
  <c r="C8" i="11"/>
  <c r="D8" i="11" s="1"/>
  <c r="N7" i="11"/>
  <c r="C7" i="11"/>
  <c r="D7" i="11" s="1"/>
  <c r="I5" i="11"/>
  <c r="K5" i="11" s="1"/>
  <c r="C5" i="11"/>
  <c r="N7" i="6"/>
  <c r="N7" i="8"/>
  <c r="N9" i="8" s="1"/>
  <c r="N11" i="8" s="1"/>
  <c r="C5" i="8"/>
  <c r="C5" i="7"/>
  <c r="D15" i="7" s="1"/>
  <c r="C5" i="6"/>
  <c r="D15" i="6" s="1"/>
  <c r="G17" i="8"/>
  <c r="G16" i="8"/>
  <c r="G15" i="8"/>
  <c r="G14" i="8"/>
  <c r="G13" i="8"/>
  <c r="C8" i="8"/>
  <c r="D8" i="8" s="1"/>
  <c r="C7" i="8"/>
  <c r="E7" i="8" s="1"/>
  <c r="C6" i="8"/>
  <c r="E6" i="8" s="1"/>
  <c r="I5" i="8"/>
  <c r="K5" i="8" s="1"/>
  <c r="G17" i="7"/>
  <c r="G16" i="7"/>
  <c r="G15" i="7"/>
  <c r="G14" i="7"/>
  <c r="G13" i="7"/>
  <c r="C8" i="7"/>
  <c r="E8" i="7" s="1"/>
  <c r="C6" i="7"/>
  <c r="E6" i="7" s="1"/>
  <c r="I5" i="7"/>
  <c r="J5" i="7" s="1"/>
  <c r="I5" i="6"/>
  <c r="C7" i="6"/>
  <c r="E7" i="6" s="1"/>
  <c r="G17" i="6"/>
  <c r="K5" i="6" s="1"/>
  <c r="G16" i="6"/>
  <c r="G15" i="6"/>
  <c r="G14" i="6"/>
  <c r="C8" i="6" s="1"/>
  <c r="E8" i="6" s="1"/>
  <c r="G13" i="6"/>
  <c r="D15" i="5"/>
  <c r="D16" i="5" s="1"/>
  <c r="C8" i="5"/>
  <c r="E8" i="5" s="1"/>
  <c r="C7" i="5"/>
  <c r="D7" i="5" s="1"/>
  <c r="C6" i="5"/>
  <c r="E6" i="5" s="1"/>
  <c r="I5" i="5"/>
  <c r="K5" i="5" s="1"/>
  <c r="C5" i="5"/>
  <c r="E5" i="5" s="1"/>
  <c r="D11" i="5" s="1"/>
  <c r="C6" i="4"/>
  <c r="D6" i="4" s="1"/>
  <c r="D15" i="3"/>
  <c r="D16" i="3" s="1"/>
  <c r="C8" i="3"/>
  <c r="E8" i="3" s="1"/>
  <c r="C7" i="3"/>
  <c r="D6" i="3"/>
  <c r="C6" i="3"/>
  <c r="E6" i="3" s="1"/>
  <c r="I5" i="3"/>
  <c r="J5" i="3" s="1"/>
  <c r="C5" i="3"/>
  <c r="E5" i="3" s="1"/>
  <c r="D15" i="2"/>
  <c r="D16" i="2" s="1"/>
  <c r="C8" i="2"/>
  <c r="E8" i="2" s="1"/>
  <c r="C7" i="2"/>
  <c r="C6" i="2"/>
  <c r="E6" i="2" s="1"/>
  <c r="I5" i="2"/>
  <c r="K5" i="2" s="1"/>
  <c r="C5" i="2"/>
  <c r="E5" i="2" s="1"/>
  <c r="D11" i="2" s="1"/>
  <c r="C5" i="1"/>
  <c r="D5" i="1" s="1"/>
  <c r="E5" i="1"/>
  <c r="D9" i="1" s="1"/>
  <c r="I5" i="1"/>
  <c r="J5" i="1" s="1"/>
  <c r="K5" i="1"/>
  <c r="C6" i="1"/>
  <c r="D6" i="1" s="1"/>
  <c r="E6" i="1"/>
  <c r="F6" i="1"/>
  <c r="G6" i="1"/>
  <c r="H6" i="1"/>
  <c r="M11" i="7" l="1"/>
  <c r="N11" i="7"/>
  <c r="B25" i="7" s="1"/>
  <c r="N10" i="7"/>
  <c r="N11" i="14"/>
  <c r="N10" i="14"/>
  <c r="M11" i="14"/>
  <c r="N10" i="8"/>
  <c r="D7" i="1"/>
  <c r="B1" i="15" s="1"/>
  <c r="D12" i="2"/>
  <c r="N9" i="6"/>
  <c r="J5" i="2"/>
  <c r="M11" i="8"/>
  <c r="B20" i="7"/>
  <c r="D9" i="13"/>
  <c r="B11" i="15" s="1"/>
  <c r="M11" i="13"/>
  <c r="N11" i="13"/>
  <c r="N10" i="13"/>
  <c r="M11" i="12"/>
  <c r="N11" i="12"/>
  <c r="N10" i="12"/>
  <c r="N9" i="11"/>
  <c r="D8" i="13"/>
  <c r="B25" i="8"/>
  <c r="D9" i="8"/>
  <c r="B8" i="15" s="1"/>
  <c r="D15" i="8"/>
  <c r="D8" i="14"/>
  <c r="D9" i="12"/>
  <c r="B10" i="15" s="1"/>
  <c r="D9" i="14"/>
  <c r="D11" i="14" s="1"/>
  <c r="J5" i="14"/>
  <c r="B20" i="14"/>
  <c r="D7" i="14"/>
  <c r="J5" i="13"/>
  <c r="B20" i="13"/>
  <c r="D7" i="13"/>
  <c r="J5" i="12"/>
  <c r="D9" i="11"/>
  <c r="B9" i="15" s="1"/>
  <c r="J5" i="11"/>
  <c r="E6" i="14"/>
  <c r="D5" i="14"/>
  <c r="E7" i="14"/>
  <c r="D12" i="14"/>
  <c r="D15" i="14"/>
  <c r="E5" i="14"/>
  <c r="D11" i="13"/>
  <c r="D10" i="13"/>
  <c r="E6" i="13"/>
  <c r="D5" i="13"/>
  <c r="E7" i="13"/>
  <c r="D12" i="13"/>
  <c r="D15" i="13"/>
  <c r="E5" i="13"/>
  <c r="E5" i="12"/>
  <c r="D5" i="12"/>
  <c r="D6" i="12"/>
  <c r="E7" i="12"/>
  <c r="E8" i="12"/>
  <c r="D12" i="12"/>
  <c r="D15" i="12"/>
  <c r="B20" i="12"/>
  <c r="D10" i="11"/>
  <c r="E5" i="11"/>
  <c r="D5" i="11"/>
  <c r="D6" i="11"/>
  <c r="E7" i="11"/>
  <c r="E8" i="11"/>
  <c r="D12" i="11"/>
  <c r="D15" i="11"/>
  <c r="B20" i="11"/>
  <c r="D9" i="7"/>
  <c r="B7" i="15" s="1"/>
  <c r="D9" i="6"/>
  <c r="B6" i="15" s="1"/>
  <c r="B20" i="8"/>
  <c r="D5" i="7"/>
  <c r="D12" i="7"/>
  <c r="D14" i="7" s="1"/>
  <c r="B20" i="6"/>
  <c r="D12" i="8"/>
  <c r="D14" i="8" s="1"/>
  <c r="D12" i="6"/>
  <c r="D7" i="8"/>
  <c r="D8" i="7"/>
  <c r="D6" i="7"/>
  <c r="J5" i="8"/>
  <c r="E5" i="8"/>
  <c r="E8" i="8"/>
  <c r="D5" i="8"/>
  <c r="D6" i="8"/>
  <c r="D17" i="7"/>
  <c r="C16" i="7"/>
  <c r="C17" i="7"/>
  <c r="D16" i="7"/>
  <c r="C15" i="7"/>
  <c r="K5" i="7"/>
  <c r="E7" i="7"/>
  <c r="E5" i="7"/>
  <c r="D7" i="7"/>
  <c r="C16" i="6"/>
  <c r="D17" i="6"/>
  <c r="C17" i="6"/>
  <c r="C15" i="6"/>
  <c r="D16" i="6"/>
  <c r="C6" i="6"/>
  <c r="D6" i="6" s="1"/>
  <c r="J5" i="6"/>
  <c r="D7" i="6"/>
  <c r="E5" i="6"/>
  <c r="D5" i="6"/>
  <c r="D8" i="6"/>
  <c r="J5" i="5"/>
  <c r="D13" i="5" s="1"/>
  <c r="D12" i="5"/>
  <c r="D5" i="5"/>
  <c r="D6" i="5"/>
  <c r="E7" i="5"/>
  <c r="D14" i="5" s="1"/>
  <c r="D8" i="5"/>
  <c r="D9" i="5"/>
  <c r="B5" i="15" s="1"/>
  <c r="D17" i="5"/>
  <c r="C5" i="4"/>
  <c r="E5" i="4" s="1"/>
  <c r="C7" i="4"/>
  <c r="C8" i="4"/>
  <c r="D8" i="4" s="1"/>
  <c r="D15" i="4"/>
  <c r="I5" i="4"/>
  <c r="E6" i="4"/>
  <c r="E8" i="4"/>
  <c r="D5" i="4"/>
  <c r="D5" i="3"/>
  <c r="D10" i="3" s="1"/>
  <c r="D12" i="3"/>
  <c r="E7" i="3"/>
  <c r="D8" i="3"/>
  <c r="D9" i="3"/>
  <c r="B3" i="15" s="1"/>
  <c r="D17" i="3"/>
  <c r="K5" i="3"/>
  <c r="D11" i="3" s="1"/>
  <c r="D7" i="3"/>
  <c r="D13" i="3" s="1"/>
  <c r="D7" i="2"/>
  <c r="D5" i="2"/>
  <c r="D6" i="2"/>
  <c r="E7" i="2"/>
  <c r="D14" i="2" s="1"/>
  <c r="D8" i="2"/>
  <c r="D9" i="2"/>
  <c r="B2" i="15" s="1"/>
  <c r="D17" i="2"/>
  <c r="D8" i="1"/>
  <c r="N11" i="6" l="1"/>
  <c r="M11" i="6"/>
  <c r="N10" i="6"/>
  <c r="B25" i="12"/>
  <c r="D10" i="2"/>
  <c r="D13" i="2"/>
  <c r="B25" i="6"/>
  <c r="D11" i="12"/>
  <c r="B25" i="13"/>
  <c r="D10" i="12"/>
  <c r="D11" i="11"/>
  <c r="M11" i="11"/>
  <c r="N10" i="11"/>
  <c r="N11" i="11"/>
  <c r="D11" i="8"/>
  <c r="D10" i="8"/>
  <c r="D11" i="7"/>
  <c r="D10" i="14"/>
  <c r="B12" i="15"/>
  <c r="D14" i="14"/>
  <c r="D13" i="14"/>
  <c r="C17" i="14"/>
  <c r="D16" i="14"/>
  <c r="C15" i="14"/>
  <c r="D17" i="14"/>
  <c r="C16" i="14"/>
  <c r="D14" i="13"/>
  <c r="D13" i="13"/>
  <c r="C17" i="13"/>
  <c r="D16" i="13"/>
  <c r="C15" i="13"/>
  <c r="D17" i="13"/>
  <c r="C16" i="13"/>
  <c r="C17" i="12"/>
  <c r="D16" i="12"/>
  <c r="C15" i="12"/>
  <c r="D17" i="12"/>
  <c r="C16" i="12"/>
  <c r="D14" i="12"/>
  <c r="D13" i="12"/>
  <c r="C17" i="11"/>
  <c r="D16" i="11"/>
  <c r="C15" i="11"/>
  <c r="D17" i="11"/>
  <c r="C16" i="11"/>
  <c r="D14" i="11"/>
  <c r="D13" i="11"/>
  <c r="D13" i="7"/>
  <c r="D10" i="7"/>
  <c r="D13" i="8"/>
  <c r="D10" i="6"/>
  <c r="D11" i="6"/>
  <c r="D17" i="8"/>
  <c r="C17" i="8"/>
  <c r="D16" i="8"/>
  <c r="C15" i="8"/>
  <c r="C16" i="8"/>
  <c r="D13" i="6"/>
  <c r="D14" i="6"/>
  <c r="E6" i="6"/>
  <c r="D10" i="5"/>
  <c r="D17" i="4"/>
  <c r="D16" i="4"/>
  <c r="E7" i="4"/>
  <c r="D12" i="4"/>
  <c r="D7" i="4"/>
  <c r="K5" i="4"/>
  <c r="D11" i="4" s="1"/>
  <c r="J5" i="4"/>
  <c r="D10" i="4" s="1"/>
  <c r="D9" i="4"/>
  <c r="B4" i="15" s="1"/>
  <c r="D14" i="3"/>
  <c r="B25" i="11" l="1"/>
  <c r="D14" i="4"/>
  <c r="D13" i="4"/>
</calcChain>
</file>

<file path=xl/sharedStrings.xml><?xml version="1.0" encoding="utf-8"?>
<sst xmlns="http://schemas.openxmlformats.org/spreadsheetml/2006/main" count="678" uniqueCount="49">
  <si>
    <t>ффомс</t>
  </si>
  <si>
    <t>год</t>
  </si>
  <si>
    <t>кв</t>
  </si>
  <si>
    <t>мес</t>
  </si>
  <si>
    <t>итого</t>
  </si>
  <si>
    <t>МРОТ</t>
  </si>
  <si>
    <t>страховая часть</t>
  </si>
  <si>
    <t>накопительная часть</t>
  </si>
  <si>
    <t>старше 67 г.р.</t>
  </si>
  <si>
    <t>моложе 67 г.р.</t>
  </si>
  <si>
    <t>Фиксированные платежи ИП в ПФР 2013 год</t>
  </si>
  <si>
    <t>Фиксированные платежи ИП в ПФР 2014 год</t>
  </si>
  <si>
    <t>Доход</t>
  </si>
  <si>
    <t>итого при непредосталении декларации</t>
  </si>
  <si>
    <t>итого до 300 т.р. Дох</t>
  </si>
  <si>
    <t>итого свыше 300 т.р. Дох</t>
  </si>
  <si>
    <t>Таблица расчитывается автоматически при вводе суммы дохода!!!!!!!</t>
  </si>
  <si>
    <t>до 300 т.р.</t>
  </si>
  <si>
    <t>Ставки налогов</t>
  </si>
  <si>
    <t>страх</t>
  </si>
  <si>
    <t>накоп</t>
  </si>
  <si>
    <t>ФФОМС</t>
  </si>
  <si>
    <t>т.к. расчетным периодом ПФР являеться год, то вводится сумма дохода за год, при деятельности на нескольких режимах налогообложения, они суммируются</t>
  </si>
  <si>
    <t>свыше 300 т.р.</t>
  </si>
  <si>
    <t>Фиксированные платежи ИП в ПФР 2015 год</t>
  </si>
  <si>
    <t>Фиксированные платежи ИП в ПФР 2016 год</t>
  </si>
  <si>
    <t>т.к. расчетным периодом ПФР является год, то вводится сумма дохода за год, при деятельности на нескольких режимах налогообложения, они суммируются</t>
  </si>
  <si>
    <t>Фиксированные платежи ИП в ПФР 2017 год</t>
  </si>
  <si>
    <t>не используется</t>
  </si>
  <si>
    <t>страховая</t>
  </si>
  <si>
    <t>накопит</t>
  </si>
  <si>
    <t>ставки за год</t>
  </si>
  <si>
    <t>макс. Размер</t>
  </si>
  <si>
    <t>!!!ПРОГНОЗ!!!</t>
  </si>
  <si>
    <t>Предел дохода</t>
  </si>
  <si>
    <t>№года</t>
  </si>
  <si>
    <t>2020</t>
  </si>
  <si>
    <t>2021</t>
  </si>
  <si>
    <t>2022</t>
  </si>
  <si>
    <t>2023</t>
  </si>
  <si>
    <t>2024</t>
  </si>
  <si>
    <t>отношение к пределу</t>
  </si>
  <si>
    <t>3000</t>
  </si>
  <si>
    <t>единая</t>
  </si>
  <si>
    <t>Единая часть</t>
  </si>
  <si>
    <t>2025</t>
  </si>
  <si>
    <t>2026</t>
  </si>
  <si>
    <t>2027</t>
  </si>
  <si>
    <t>еще не устерждено</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</si>
</sst>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quot;р.&quot;"/>
    <numFmt numFmtId="165" formatCode="#,##0.00_₽"/>
  </numFmts>
  <fonts count="16" x14ac:knownFonts="1">
    <font>
      <sz val="11"/>
      <color theme="1"/>
      <name val="Calibri"/>
      <family val="2"/>
      <charset val="204"/>
      <scheme val="minor"/>
    </font>
    <font>
      <sz val="11"/>
      <color theme="0"/>
      <name val="Calibri"/>
      <family val="2"/>
      <charset val="204"/>
      <scheme val="minor"/>
    </font>
    <font>
      <sz val="11"/>
      <color theme="1"/>
      <name val="Calibri"/>
      <family val="2"/>
      <charset val="204"/>
    </font>
    <font>
      <sz val="9"/>
      <color theme="0"/>
      <name val="Calibri"/>
      <family val="2"/>
      <charset val="204"/>
      <scheme val="minor"/>
    </font>
    <font>
      <sz val="9"/>
      <color theme="1"/>
      <name val="Calibri"/>
      <family val="2"/>
      <charset val="204"/>
      <scheme val="minor"/>
    </font>
    <font>
      <u/>
      <sz val="11"/>
      <color theme="10"/>
      <name val="Calibri"/>
      <family val="2"/>
      <charset val="204"/>
    </font>
    <font>
      <u/>
      <sz val="20"/>
      <color theme="10"/>
      <name val="Calibri"/>
      <family val="2"/>
      <charset val="204"/>
    </font>
    <font>
      <b/>
      <sz val="11"/>
      <color theme="1"/>
      <name val="Calibri"/>
      <family val="2"/>
      <charset val="204"/>
      <scheme val="minor"/>
    </font>
    <font>
      <sz val="16"/>
      <name val="Calibri"/>
      <family val="2"/>
      <charset val="204"/>
      <scheme val="minor"/>
    </font>
    <font>
      <sz val="12"/>
      <name val="Calibri"/>
      <family val="2"/>
      <charset val="204"/>
      <scheme val="minor"/>
    </font>
    <font>
      <sz val="12"/>
      <color theme="1"/>
      <name val="Calibri"/>
      <family val="2"/>
      <charset val="204"/>
      <scheme val="minor"/>
    </font>
    <font>
      <b/>
      <sz val="20"/>
      <color theme="1"/>
      <name val="Calibri"/>
      <family val="2"/>
      <charset val="204"/>
      <scheme val="minor"/>
    </font>
    <font>
      <sz val="11"/>
      <color rgb="FF000000"/>
      <name val="Arial"/>
      <family val="2"/>
      <charset val="204"/>
    </font>
    <font>
      <sz val="22"/>
      <color rgb="FFFF0000"/>
      <name val="Calibri"/>
      <family val="2"/>
      <charset val="204"/>
      <scheme val="minor"/>
    </font>
    <font>
      <sz val="22"/>
      <color theme="1"/>
      <name val="Calibri"/>
      <family val="2"/>
      <charset val="204"/>
      <scheme val="minor"/>
    </font>
    <font>
      <u/>
      <sz val="20"/>
      <color rgb="FFFF0000"/>
      <name val="Calibri"/>
      <family val="2"/>
      <charset val="204"/>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62">
    <border>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diagonalUp="1" diagonalDown="1">
      <left style="medium">
        <color indexed="64"/>
      </left>
      <right/>
      <top style="medium">
        <color indexed="64"/>
      </top>
      <bottom/>
      <diagonal style="medium">
        <color indexed="64"/>
      </diagonal>
    </border>
    <border diagonalUp="1" diagonalDown="1">
      <left/>
      <right/>
      <top style="medium">
        <color indexed="64"/>
      </top>
      <bottom/>
      <diagonal style="medium">
        <color indexed="64"/>
      </diagonal>
    </border>
    <border diagonalUp="1" diagonalDown="1">
      <left/>
      <right style="medium">
        <color indexed="64"/>
      </right>
      <top style="medium">
        <color indexed="64"/>
      </top>
      <bottom/>
      <diagonal style="medium">
        <color indexed="64"/>
      </diagonal>
    </border>
    <border diagonalUp="1" diagonalDown="1">
      <left style="medium">
        <color indexed="64"/>
      </left>
      <right/>
      <top/>
      <bottom/>
      <diagonal style="medium">
        <color indexed="64"/>
      </diagonal>
    </border>
    <border diagonalUp="1" diagonalDown="1">
      <left/>
      <right/>
      <top/>
      <bottom/>
      <diagonal style="medium">
        <color indexed="64"/>
      </diagonal>
    </border>
    <border diagonalUp="1" diagonalDown="1">
      <left/>
      <right style="medium">
        <color indexed="64"/>
      </right>
      <top/>
      <bottom/>
      <diagonal style="medium">
        <color indexed="64"/>
      </diagonal>
    </border>
    <border>
      <left style="thin">
        <color indexed="64"/>
      </left>
      <right/>
      <top style="medium">
        <color indexed="64"/>
      </top>
      <bottom style="thin">
        <color indexed="64"/>
      </bottom>
      <diagonal/>
    </border>
    <border diagonalUp="1" diagonalDown="1">
      <left style="medium">
        <color indexed="64"/>
      </left>
      <right/>
      <top/>
      <bottom style="medium">
        <color indexed="64"/>
      </bottom>
      <diagonal style="medium">
        <color indexed="64"/>
      </diagonal>
    </border>
    <border diagonalUp="1" diagonalDown="1">
      <left/>
      <right/>
      <top/>
      <bottom style="medium">
        <color indexed="64"/>
      </bottom>
      <diagonal style="medium">
        <color indexed="64"/>
      </diagonal>
    </border>
    <border diagonalUp="1" diagonalDown="1">
      <left/>
      <right style="medium">
        <color indexed="64"/>
      </right>
      <top/>
      <bottom style="medium">
        <color indexed="64"/>
      </bottom>
      <diagonal style="medium">
        <color indexed="64"/>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diagonalUp="1" diagonalDown="1">
      <left style="medium">
        <color indexed="64"/>
      </left>
      <right/>
      <top style="medium">
        <color indexed="64"/>
      </top>
      <bottom style="thin">
        <color indexed="64"/>
      </bottom>
      <diagonal style="thin">
        <color indexed="64"/>
      </diagonal>
    </border>
    <border diagonalUp="1" diagonalDown="1">
      <left/>
      <right/>
      <top style="medium">
        <color indexed="64"/>
      </top>
      <bottom style="thin">
        <color indexed="64"/>
      </bottom>
      <diagonal style="thin">
        <color indexed="64"/>
      </diagonal>
    </border>
    <border diagonalUp="1" diagonalDown="1">
      <left/>
      <right style="medium">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0" fontId="5" fillId="0" borderId="0" applyNumberFormat="0" applyFill="0" applyBorder="0" applyAlignment="0" applyProtection="0">
      <alignment vertical="top"/>
      <protection locked="0"/>
    </xf>
  </cellStyleXfs>
  <cellXfs count="177">
    <xf numFmtId="0" fontId="0" fillId="0" borderId="0" xfId="0"/>
    <xf numFmtId="0" fontId="0" fillId="0" borderId="0" xfId="0" applyAlignment="1"/>
    <xf numFmtId="0" fontId="0" fillId="0" borderId="0" xfId="0" applyAlignment="1">
      <alignment shrinkToFit="1"/>
    </xf>
    <xf numFmtId="164" fontId="0" fillId="3" borderId="20" xfId="0" applyNumberFormat="1" applyFill="1" applyBorder="1" applyAlignment="1" applyProtection="1">
      <alignment vertical="center" shrinkToFit="1"/>
      <protection hidden="1"/>
    </xf>
    <xf numFmtId="164" fontId="0" fillId="3" borderId="1" xfId="0" applyNumberFormat="1" applyFill="1" applyBorder="1" applyAlignment="1" applyProtection="1">
      <alignment vertical="center" shrinkToFit="1"/>
      <protection hidden="1"/>
    </xf>
    <xf numFmtId="164" fontId="0" fillId="3" borderId="8" xfId="0" applyNumberFormat="1" applyFill="1" applyBorder="1" applyAlignment="1" applyProtection="1">
      <alignment vertical="center" shrinkToFit="1"/>
      <protection hidden="1"/>
    </xf>
    <xf numFmtId="164" fontId="0" fillId="3" borderId="10" xfId="0" applyNumberFormat="1" applyFill="1" applyBorder="1" applyAlignment="1" applyProtection="1">
      <alignment vertical="center" shrinkToFit="1"/>
      <protection hidden="1"/>
    </xf>
    <xf numFmtId="164" fontId="0" fillId="3" borderId="6" xfId="0" applyNumberFormat="1" applyFill="1" applyBorder="1" applyAlignment="1" applyProtection="1">
      <alignment vertical="center" shrinkToFit="1"/>
      <protection hidden="1"/>
    </xf>
    <xf numFmtId="164" fontId="0" fillId="3" borderId="7" xfId="0" applyNumberFormat="1" applyFill="1" applyBorder="1" applyAlignment="1" applyProtection="1">
      <alignment vertical="center" shrinkToFit="1"/>
      <protection hidden="1"/>
    </xf>
    <xf numFmtId="164" fontId="0" fillId="3" borderId="16" xfId="0" applyNumberFormat="1" applyFill="1" applyBorder="1" applyAlignment="1" applyProtection="1">
      <alignment vertical="center" shrinkToFit="1"/>
      <protection hidden="1"/>
    </xf>
    <xf numFmtId="164" fontId="0" fillId="3" borderId="3" xfId="0" applyNumberFormat="1" applyFill="1" applyBorder="1" applyAlignment="1" applyProtection="1">
      <alignment vertical="center" shrinkToFit="1"/>
      <protection hidden="1"/>
    </xf>
    <xf numFmtId="0" fontId="0" fillId="3" borderId="9" xfId="0" applyFill="1" applyBorder="1" applyAlignment="1" applyProtection="1">
      <alignment vertical="center" shrinkToFit="1"/>
      <protection hidden="1"/>
    </xf>
    <xf numFmtId="164" fontId="0" fillId="3" borderId="4" xfId="0" applyNumberFormat="1" applyFill="1" applyBorder="1" applyAlignment="1" applyProtection="1">
      <alignment vertical="center" shrinkToFit="1"/>
      <protection hidden="1"/>
    </xf>
    <xf numFmtId="164" fontId="0" fillId="0" borderId="16" xfId="0" applyNumberFormat="1" applyBorder="1" applyAlignment="1" applyProtection="1">
      <alignment vertical="center" shrinkToFit="1"/>
      <protection hidden="1"/>
    </xf>
    <xf numFmtId="164" fontId="0" fillId="0" borderId="3" xfId="0" applyNumberFormat="1" applyBorder="1" applyAlignment="1" applyProtection="1">
      <alignment vertical="center" shrinkToFit="1"/>
      <protection hidden="1"/>
    </xf>
    <xf numFmtId="0" fontId="0" fillId="0" borderId="9" xfId="0" applyBorder="1" applyAlignment="1" applyProtection="1">
      <alignment vertical="center" shrinkToFit="1"/>
      <protection hidden="1"/>
    </xf>
    <xf numFmtId="164" fontId="0" fillId="0" borderId="10" xfId="0" applyNumberFormat="1" applyFill="1" applyBorder="1" applyAlignment="1" applyProtection="1">
      <alignment vertical="center" shrinkToFit="1"/>
      <protection hidden="1"/>
    </xf>
    <xf numFmtId="164" fontId="0" fillId="0" borderId="7" xfId="0" applyNumberFormat="1" applyBorder="1" applyAlignment="1" applyProtection="1">
      <alignment vertical="center" shrinkToFit="1"/>
      <protection hidden="1"/>
    </xf>
    <xf numFmtId="164" fontId="1" fillId="2" borderId="16" xfId="0" applyNumberFormat="1" applyFont="1" applyFill="1" applyBorder="1" applyAlignment="1" applyProtection="1">
      <alignment vertical="center" shrinkToFit="1"/>
      <protection hidden="1"/>
    </xf>
    <xf numFmtId="164" fontId="1" fillId="2" borderId="3" xfId="0" applyNumberFormat="1" applyFont="1" applyFill="1" applyBorder="1" applyAlignment="1" applyProtection="1">
      <alignment vertical="center" shrinkToFit="1"/>
      <protection hidden="1"/>
    </xf>
    <xf numFmtId="0" fontId="1" fillId="2" borderId="9" xfId="0" applyFont="1" applyFill="1" applyBorder="1" applyAlignment="1" applyProtection="1">
      <alignment vertical="center" shrinkToFit="1"/>
      <protection hidden="1"/>
    </xf>
    <xf numFmtId="164" fontId="1" fillId="2" borderId="4" xfId="0" applyNumberFormat="1" applyFont="1" applyFill="1" applyBorder="1" applyAlignment="1" applyProtection="1">
      <alignment vertical="center" shrinkToFit="1"/>
      <protection hidden="1"/>
    </xf>
    <xf numFmtId="164" fontId="1" fillId="2" borderId="10" xfId="0" applyNumberFormat="1" applyFont="1" applyFill="1" applyBorder="1" applyAlignment="1" applyProtection="1">
      <alignment vertical="center" shrinkToFit="1"/>
      <protection hidden="1"/>
    </xf>
    <xf numFmtId="164" fontId="1" fillId="2" borderId="7" xfId="0" applyNumberFormat="1" applyFont="1" applyFill="1" applyBorder="1" applyAlignment="1" applyProtection="1">
      <alignment vertical="center" shrinkToFit="1"/>
      <protection hidden="1"/>
    </xf>
    <xf numFmtId="0" fontId="0" fillId="0" borderId="30" xfId="0" applyBorder="1" applyAlignment="1" applyProtection="1">
      <protection hidden="1"/>
    </xf>
    <xf numFmtId="0" fontId="0" fillId="0" borderId="17" xfId="0" applyBorder="1" applyAlignment="1" applyProtection="1">
      <protection hidden="1"/>
    </xf>
    <xf numFmtId="0" fontId="0" fillId="0" borderId="0" xfId="0" applyBorder="1" applyAlignment="1" applyProtection="1">
      <alignment shrinkToFit="1"/>
      <protection hidden="1"/>
    </xf>
    <xf numFmtId="0" fontId="0" fillId="0" borderId="27" xfId="0" applyBorder="1" applyAlignment="1" applyProtection="1">
      <alignment shrinkToFit="1"/>
      <protection hidden="1"/>
    </xf>
    <xf numFmtId="0" fontId="0" fillId="3" borderId="10" xfId="0" applyFill="1" applyBorder="1" applyAlignment="1" applyProtection="1">
      <alignment horizontal="center" vertical="center" shrinkToFit="1"/>
      <protection hidden="1"/>
    </xf>
    <xf numFmtId="0" fontId="0" fillId="3" borderId="6" xfId="0" applyFill="1" applyBorder="1" applyAlignment="1" applyProtection="1">
      <alignment horizontal="center" vertical="center" shrinkToFit="1"/>
      <protection hidden="1"/>
    </xf>
    <xf numFmtId="0" fontId="0" fillId="3" borderId="7" xfId="0" applyFill="1" applyBorder="1" applyAlignment="1" applyProtection="1">
      <alignment horizontal="center" vertical="center" shrinkToFit="1"/>
      <protection hidden="1"/>
    </xf>
    <xf numFmtId="0" fontId="0" fillId="3" borderId="19" xfId="0" applyFill="1" applyBorder="1" applyAlignment="1" applyProtection="1">
      <alignment vertical="center" shrinkToFit="1"/>
      <protection hidden="1"/>
    </xf>
    <xf numFmtId="0" fontId="0" fillId="3" borderId="15" xfId="0" applyFill="1" applyBorder="1" applyAlignment="1" applyProtection="1">
      <alignment vertical="center" shrinkToFit="1"/>
      <protection hidden="1"/>
    </xf>
    <xf numFmtId="164" fontId="0" fillId="3" borderId="0" xfId="0" applyNumberFormat="1" applyFill="1" applyBorder="1" applyAlignment="1" applyProtection="1">
      <alignment vertical="center" shrinkToFit="1"/>
      <protection hidden="1"/>
    </xf>
    <xf numFmtId="0" fontId="0" fillId="3" borderId="0" xfId="0" applyFill="1" applyBorder="1" applyAlignment="1" applyProtection="1">
      <alignment vertical="center" shrinkToFit="1"/>
      <protection hidden="1"/>
    </xf>
    <xf numFmtId="0" fontId="0" fillId="3" borderId="27" xfId="0" applyFill="1" applyBorder="1" applyAlignment="1" applyProtection="1">
      <alignment vertical="center" shrinkToFit="1"/>
      <protection hidden="1"/>
    </xf>
    <xf numFmtId="0" fontId="0" fillId="3" borderId="13" xfId="0" applyFill="1" applyBorder="1" applyAlignment="1" applyProtection="1">
      <alignment vertical="center" shrinkToFit="1"/>
      <protection hidden="1"/>
    </xf>
    <xf numFmtId="164" fontId="0" fillId="3" borderId="14" xfId="0" applyNumberFormat="1" applyFill="1" applyBorder="1" applyAlignment="1" applyProtection="1">
      <alignment vertical="center" shrinkToFit="1"/>
      <protection hidden="1"/>
    </xf>
    <xf numFmtId="0" fontId="0" fillId="0" borderId="18" xfId="0" applyBorder="1" applyAlignment="1" applyProtection="1">
      <protection hidden="1"/>
    </xf>
    <xf numFmtId="0" fontId="0" fillId="3" borderId="33" xfId="0" applyFill="1" applyBorder="1" applyAlignment="1" applyProtection="1">
      <alignment shrinkToFit="1"/>
      <protection hidden="1"/>
    </xf>
    <xf numFmtId="0" fontId="0" fillId="3" borderId="34" xfId="0" applyFill="1" applyBorder="1" applyAlignment="1" applyProtection="1">
      <alignment shrinkToFit="1"/>
      <protection hidden="1"/>
    </xf>
    <xf numFmtId="0" fontId="2" fillId="3" borderId="0" xfId="0" applyFont="1" applyFill="1" applyBorder="1" applyAlignment="1" applyProtection="1">
      <alignment vertical="center" shrinkToFit="1"/>
      <protection hidden="1"/>
    </xf>
    <xf numFmtId="0" fontId="0" fillId="0" borderId="33" xfId="0" applyBorder="1" applyAlignment="1" applyProtection="1">
      <alignment shrinkToFit="1"/>
      <protection hidden="1"/>
    </xf>
    <xf numFmtId="164" fontId="5" fillId="3" borderId="14" xfId="1" applyNumberFormat="1" applyFill="1" applyBorder="1" applyAlignment="1" applyProtection="1">
      <alignment vertical="center" shrinkToFit="1"/>
      <protection hidden="1"/>
    </xf>
    <xf numFmtId="10" fontId="9" fillId="3" borderId="36" xfId="0" applyNumberFormat="1" applyFont="1" applyFill="1" applyBorder="1" applyAlignment="1" applyProtection="1">
      <alignment vertical="center" shrinkToFit="1"/>
      <protection hidden="1"/>
    </xf>
    <xf numFmtId="10" fontId="10" fillId="0" borderId="36" xfId="0" applyNumberFormat="1" applyFont="1" applyBorder="1" applyAlignment="1">
      <alignment shrinkToFit="1"/>
    </xf>
    <xf numFmtId="0" fontId="9" fillId="3" borderId="36" xfId="0" applyFont="1" applyFill="1" applyBorder="1" applyAlignment="1" applyProtection="1">
      <alignment vertical="center" shrinkToFit="1"/>
      <protection hidden="1"/>
    </xf>
    <xf numFmtId="0" fontId="10" fillId="0" borderId="36" xfId="0" applyFont="1" applyBorder="1" applyAlignment="1">
      <alignment shrinkToFit="1"/>
    </xf>
    <xf numFmtId="0" fontId="9" fillId="3" borderId="6" xfId="0" applyFont="1" applyFill="1" applyBorder="1" applyAlignment="1" applyProtection="1">
      <alignment vertical="center" shrinkToFit="1"/>
      <protection hidden="1"/>
    </xf>
    <xf numFmtId="164" fontId="0" fillId="3" borderId="41" xfId="0" applyNumberFormat="1" applyFill="1" applyBorder="1" applyAlignment="1" applyProtection="1">
      <alignment vertical="center" shrinkToFit="1"/>
      <protection hidden="1"/>
    </xf>
    <xf numFmtId="164" fontId="0" fillId="3" borderId="37" xfId="0" applyNumberFormat="1" applyFill="1" applyBorder="1" applyAlignment="1" applyProtection="1">
      <alignment vertical="center" shrinkToFit="1"/>
      <protection hidden="1"/>
    </xf>
    <xf numFmtId="0" fontId="0" fillId="3" borderId="42" xfId="0" applyFill="1" applyBorder="1" applyAlignment="1" applyProtection="1">
      <alignment horizontal="center" vertical="center" shrinkToFit="1"/>
      <protection hidden="1"/>
    </xf>
    <xf numFmtId="0" fontId="0" fillId="3" borderId="43" xfId="0" applyFill="1" applyBorder="1" applyAlignment="1" applyProtection="1">
      <alignment horizontal="center" vertical="center" shrinkToFit="1"/>
      <protection hidden="1"/>
    </xf>
    <xf numFmtId="0" fontId="0" fillId="3" borderId="44" xfId="0" applyFill="1" applyBorder="1" applyAlignment="1" applyProtection="1">
      <alignment horizontal="center" vertical="center" shrinkToFit="1"/>
      <protection hidden="1"/>
    </xf>
    <xf numFmtId="0" fontId="0" fillId="0" borderId="13" xfId="0" applyFill="1" applyBorder="1" applyAlignment="1" applyProtection="1">
      <alignment vertical="center" shrinkToFit="1"/>
      <protection hidden="1"/>
    </xf>
    <xf numFmtId="3" fontId="0" fillId="0" borderId="14" xfId="0" applyNumberFormat="1" applyFill="1" applyBorder="1" applyAlignment="1" applyProtection="1">
      <alignment vertical="center" shrinkToFit="1"/>
      <protection locked="0"/>
    </xf>
    <xf numFmtId="164" fontId="0" fillId="3" borderId="2" xfId="0" applyNumberFormat="1" applyFill="1" applyBorder="1" applyAlignment="1" applyProtection="1">
      <alignment vertical="center" shrinkToFit="1"/>
      <protection hidden="1"/>
    </xf>
    <xf numFmtId="164" fontId="0" fillId="3" borderId="51" xfId="0" applyNumberFormat="1" applyFill="1" applyBorder="1" applyAlignment="1" applyProtection="1">
      <alignment vertical="center" shrinkToFit="1"/>
      <protection hidden="1"/>
    </xf>
    <xf numFmtId="164" fontId="0" fillId="3" borderId="5" xfId="0" applyNumberFormat="1" applyFill="1" applyBorder="1" applyAlignment="1" applyProtection="1">
      <alignment vertical="center" shrinkToFit="1"/>
      <protection hidden="1"/>
    </xf>
    <xf numFmtId="3" fontId="12" fillId="0" borderId="0" xfId="0" applyNumberFormat="1" applyFont="1"/>
    <xf numFmtId="3" fontId="12" fillId="0" borderId="14" xfId="0" applyNumberFormat="1" applyFont="1" applyBorder="1"/>
    <xf numFmtId="3" fontId="0" fillId="4" borderId="14" xfId="0" applyNumberFormat="1" applyFill="1" applyBorder="1" applyAlignment="1" applyProtection="1">
      <alignment vertical="center" shrinkToFit="1"/>
      <protection locked="0"/>
    </xf>
    <xf numFmtId="0" fontId="0" fillId="3" borderId="36" xfId="0" applyFill="1" applyBorder="1" applyAlignment="1" applyProtection="1">
      <alignment horizontal="center" vertical="center" shrinkToFit="1"/>
      <protection hidden="1"/>
    </xf>
    <xf numFmtId="0" fontId="0" fillId="0" borderId="0" xfId="0" applyAlignment="1">
      <alignment wrapText="1"/>
    </xf>
    <xf numFmtId="0" fontId="0" fillId="0" borderId="0" xfId="0" applyAlignment="1" applyProtection="1">
      <protection hidden="1"/>
    </xf>
    <xf numFmtId="165" fontId="0" fillId="0" borderId="0" xfId="0" applyNumberFormat="1" applyAlignment="1" applyProtection="1">
      <protection hidden="1"/>
    </xf>
    <xf numFmtId="49" fontId="0" fillId="0" borderId="0" xfId="0" applyNumberFormat="1" applyAlignment="1" applyProtection="1">
      <protection hidden="1"/>
    </xf>
    <xf numFmtId="0" fontId="0" fillId="0" borderId="36" xfId="0" applyBorder="1" applyAlignment="1" applyProtection="1">
      <protection hidden="1"/>
    </xf>
    <xf numFmtId="165" fontId="0" fillId="0" borderId="36" xfId="0" applyNumberFormat="1" applyBorder="1" applyAlignment="1" applyProtection="1">
      <protection hidden="1"/>
    </xf>
    <xf numFmtId="0" fontId="0" fillId="0" borderId="36" xfId="0" applyFill="1" applyBorder="1" applyAlignment="1" applyProtection="1">
      <protection hidden="1"/>
    </xf>
    <xf numFmtId="4" fontId="0" fillId="0" borderId="0" xfId="0" applyNumberFormat="1" applyAlignment="1" applyProtection="1">
      <protection hidden="1"/>
    </xf>
    <xf numFmtId="3" fontId="5" fillId="0" borderId="14" xfId="1" applyNumberFormat="1" applyBorder="1" applyAlignment="1" applyProtection="1">
      <protection hidden="1"/>
    </xf>
    <xf numFmtId="10" fontId="10" fillId="0" borderId="36" xfId="0" applyNumberFormat="1" applyFont="1" applyBorder="1" applyAlignment="1" applyProtection="1">
      <alignment shrinkToFit="1"/>
      <protection hidden="1"/>
    </xf>
    <xf numFmtId="0" fontId="10" fillId="0" borderId="36" xfId="0" applyFont="1" applyBorder="1" applyAlignment="1" applyProtection="1">
      <alignment shrinkToFit="1"/>
      <protection hidden="1"/>
    </xf>
    <xf numFmtId="0" fontId="0" fillId="0" borderId="0" xfId="0" applyAlignment="1" applyProtection="1">
      <alignment shrinkToFit="1"/>
      <protection hidden="1"/>
    </xf>
    <xf numFmtId="0" fontId="0" fillId="0" borderId="0" xfId="0" applyBorder="1" applyAlignment="1" applyProtection="1">
      <protection hidden="1"/>
    </xf>
    <xf numFmtId="165" fontId="0" fillId="0" borderId="61" xfId="0" applyNumberFormat="1" applyBorder="1" applyAlignment="1" applyProtection="1">
      <protection hidden="1"/>
    </xf>
    <xf numFmtId="49" fontId="0" fillId="4" borderId="0" xfId="0" applyNumberFormat="1" applyFill="1" applyAlignment="1" applyProtection="1">
      <protection hidden="1"/>
    </xf>
    <xf numFmtId="165" fontId="0" fillId="4" borderId="36" xfId="0" applyNumberFormat="1" applyFill="1" applyBorder="1" applyAlignment="1" applyProtection="1">
      <protection hidden="1"/>
    </xf>
    <xf numFmtId="0" fontId="1" fillId="3" borderId="0" xfId="0" applyFont="1" applyFill="1" applyBorder="1" applyAlignment="1" applyProtection="1">
      <alignment horizontal="center" vertical="center" shrinkToFit="1"/>
      <protection hidden="1"/>
    </xf>
    <xf numFmtId="0" fontId="0" fillId="4" borderId="0" xfId="0" applyFill="1"/>
    <xf numFmtId="0" fontId="0" fillId="3" borderId="21" xfId="0" applyFill="1" applyBorder="1" applyAlignment="1" applyProtection="1">
      <alignment horizontal="center" vertical="center" shrinkToFit="1"/>
      <protection hidden="1"/>
    </xf>
    <xf numFmtId="0" fontId="0" fillId="3" borderId="22" xfId="0" applyFill="1" applyBorder="1" applyAlignment="1" applyProtection="1">
      <alignment horizontal="center" vertical="center" shrinkToFit="1"/>
      <protection hidden="1"/>
    </xf>
    <xf numFmtId="0" fontId="0" fillId="3" borderId="23" xfId="0" applyFill="1" applyBorder="1" applyAlignment="1" applyProtection="1">
      <alignment horizontal="center" vertical="center" shrinkToFit="1"/>
      <protection hidden="1"/>
    </xf>
    <xf numFmtId="164" fontId="0" fillId="3" borderId="55" xfId="0" applyNumberFormat="1" applyFill="1" applyBorder="1" applyAlignment="1" applyProtection="1">
      <alignment horizontal="center" vertical="center" shrinkToFit="1"/>
      <protection hidden="1"/>
    </xf>
    <xf numFmtId="164" fontId="0" fillId="3" borderId="12" xfId="0" applyNumberFormat="1" applyFill="1" applyBorder="1" applyAlignment="1" applyProtection="1">
      <alignment horizontal="center" vertical="center" shrinkToFit="1"/>
      <protection hidden="1"/>
    </xf>
    <xf numFmtId="164" fontId="0" fillId="3" borderId="56" xfId="0" applyNumberFormat="1" applyFill="1" applyBorder="1" applyAlignment="1" applyProtection="1">
      <alignment horizontal="center" vertical="center" shrinkToFit="1"/>
      <protection hidden="1"/>
    </xf>
    <xf numFmtId="164" fontId="0" fillId="3" borderId="11" xfId="0" applyNumberFormat="1" applyFill="1" applyBorder="1" applyAlignment="1" applyProtection="1">
      <alignment horizontal="center" vertical="center" shrinkToFit="1"/>
      <protection hidden="1"/>
    </xf>
    <xf numFmtId="164" fontId="0" fillId="3" borderId="57" xfId="0" applyNumberFormat="1" applyFill="1" applyBorder="1" applyAlignment="1" applyProtection="1">
      <alignment horizontal="center" vertical="center" shrinkToFit="1"/>
      <protection hidden="1"/>
    </xf>
    <xf numFmtId="164" fontId="0" fillId="3" borderId="5" xfId="0" applyNumberFormat="1" applyFill="1" applyBorder="1" applyAlignment="1" applyProtection="1">
      <alignment horizontal="center" vertical="center" shrinkToFit="1"/>
      <protection hidden="1"/>
    </xf>
    <xf numFmtId="164" fontId="0" fillId="3" borderId="58" xfId="0" applyNumberFormat="1" applyFill="1" applyBorder="1" applyAlignment="1" applyProtection="1">
      <alignment horizontal="center" vertical="center" shrinkToFit="1"/>
      <protection hidden="1"/>
    </xf>
    <xf numFmtId="164" fontId="0" fillId="3" borderId="59" xfId="0" applyNumberFormat="1" applyFill="1" applyBorder="1" applyAlignment="1" applyProtection="1">
      <alignment horizontal="center" vertical="center" shrinkToFit="1"/>
      <protection hidden="1"/>
    </xf>
    <xf numFmtId="164" fontId="0" fillId="3" borderId="60" xfId="0" applyNumberFormat="1" applyFill="1" applyBorder="1" applyAlignment="1" applyProtection="1">
      <alignment horizontal="center" vertical="center" shrinkToFit="1"/>
      <protection hidden="1"/>
    </xf>
    <xf numFmtId="0" fontId="0" fillId="3" borderId="24" xfId="0" applyFill="1" applyBorder="1" applyAlignment="1" applyProtection="1">
      <alignment horizontal="center" vertical="center" shrinkToFit="1"/>
      <protection hidden="1"/>
    </xf>
    <xf numFmtId="0" fontId="0" fillId="3" borderId="25" xfId="0" applyFill="1" applyBorder="1" applyAlignment="1" applyProtection="1">
      <alignment horizontal="center" vertical="center" shrinkToFit="1"/>
      <protection hidden="1"/>
    </xf>
    <xf numFmtId="0" fontId="0" fillId="3" borderId="26" xfId="0" applyFill="1" applyBorder="1" applyAlignment="1" applyProtection="1">
      <alignment horizontal="center" vertical="center" shrinkToFit="1"/>
      <protection hidden="1"/>
    </xf>
    <xf numFmtId="0" fontId="0" fillId="3" borderId="28" xfId="0" applyFill="1" applyBorder="1" applyAlignment="1" applyProtection="1">
      <alignment horizontal="center" vertical="center" shrinkToFit="1"/>
      <protection hidden="1"/>
    </xf>
    <xf numFmtId="0" fontId="0" fillId="3" borderId="29" xfId="0" applyFill="1" applyBorder="1" applyAlignment="1" applyProtection="1">
      <alignment horizontal="center" vertical="center" shrinkToFit="1"/>
      <protection hidden="1"/>
    </xf>
    <xf numFmtId="0" fontId="0" fillId="0" borderId="31" xfId="0" applyBorder="1" applyAlignment="1" applyProtection="1">
      <alignment horizontal="center" vertical="center" shrinkToFit="1"/>
      <protection hidden="1"/>
    </xf>
    <xf numFmtId="0" fontId="0" fillId="0" borderId="32" xfId="0" applyBorder="1" applyAlignment="1" applyProtection="1">
      <alignment horizontal="center" vertical="center" shrinkToFit="1"/>
      <protection hidden="1"/>
    </xf>
    <xf numFmtId="164" fontId="0" fillId="3" borderId="3" xfId="0" applyNumberFormat="1" applyFill="1" applyBorder="1" applyAlignment="1" applyProtection="1">
      <alignment horizontal="center" vertical="center" shrinkToFit="1"/>
      <protection hidden="1"/>
    </xf>
    <xf numFmtId="164" fontId="0" fillId="3" borderId="4" xfId="0" applyNumberFormat="1" applyFill="1" applyBorder="1" applyAlignment="1" applyProtection="1">
      <alignment horizontal="center" vertical="center" shrinkToFit="1"/>
      <protection hidden="1"/>
    </xf>
    <xf numFmtId="164" fontId="0" fillId="3" borderId="7" xfId="0" applyNumberFormat="1" applyFill="1" applyBorder="1" applyAlignment="1" applyProtection="1">
      <alignment horizontal="center" vertical="center" shrinkToFit="1"/>
      <protection hidden="1"/>
    </xf>
    <xf numFmtId="0" fontId="4" fillId="0" borderId="35" xfId="0" applyFont="1" applyBorder="1" applyAlignment="1" applyProtection="1">
      <alignment horizontal="center" textRotation="90" wrapText="1"/>
      <protection hidden="1"/>
    </xf>
    <xf numFmtId="0" fontId="4" fillId="0" borderId="35" xfId="0" applyFont="1" applyBorder="1" applyAlignment="1" applyProtection="1">
      <alignment horizontal="center" wrapText="1"/>
      <protection hidden="1"/>
    </xf>
    <xf numFmtId="0" fontId="4" fillId="0" borderId="15" xfId="0" applyFont="1" applyBorder="1" applyAlignment="1" applyProtection="1">
      <alignment horizontal="center" wrapText="1"/>
      <protection hidden="1"/>
    </xf>
    <xf numFmtId="0" fontId="6" fillId="3" borderId="31" xfId="1" applyFont="1" applyFill="1" applyBorder="1" applyAlignment="1" applyProtection="1">
      <alignment horizontal="center" vertical="center" shrinkToFit="1"/>
      <protection hidden="1"/>
    </xf>
    <xf numFmtId="0" fontId="6" fillId="3" borderId="32" xfId="1" applyFont="1" applyFill="1" applyBorder="1" applyAlignment="1" applyProtection="1">
      <alignment horizontal="center" vertical="center" shrinkToFit="1"/>
      <protection hidden="1"/>
    </xf>
    <xf numFmtId="0" fontId="6" fillId="3" borderId="33" xfId="1" applyFont="1" applyFill="1" applyBorder="1" applyAlignment="1" applyProtection="1">
      <alignment horizontal="center" vertical="center" shrinkToFit="1"/>
      <protection hidden="1"/>
    </xf>
    <xf numFmtId="0" fontId="6" fillId="3" borderId="34" xfId="1" applyFont="1" applyFill="1" applyBorder="1" applyAlignment="1" applyProtection="1">
      <alignment horizontal="center" vertical="center" shrinkToFit="1"/>
      <protection hidden="1"/>
    </xf>
    <xf numFmtId="0" fontId="4" fillId="0" borderId="24" xfId="0" applyFont="1" applyBorder="1" applyAlignment="1" applyProtection="1">
      <alignment horizontal="center" wrapText="1"/>
      <protection hidden="1"/>
    </xf>
    <xf numFmtId="164" fontId="0" fillId="3" borderId="45" xfId="0" applyNumberFormat="1" applyFill="1" applyBorder="1" applyAlignment="1" applyProtection="1">
      <alignment horizontal="center" vertical="center" shrinkToFit="1"/>
      <protection hidden="1"/>
    </xf>
    <xf numFmtId="164" fontId="0" fillId="3" borderId="46" xfId="0" applyNumberFormat="1" applyFill="1" applyBorder="1" applyAlignment="1" applyProtection="1">
      <alignment horizontal="center" vertical="center" shrinkToFit="1"/>
      <protection hidden="1"/>
    </xf>
    <xf numFmtId="164" fontId="0" fillId="3" borderId="47" xfId="0" applyNumberFormat="1" applyFill="1" applyBorder="1" applyAlignment="1" applyProtection="1">
      <alignment horizontal="center" vertical="center" shrinkToFit="1"/>
      <protection hidden="1"/>
    </xf>
    <xf numFmtId="164" fontId="0" fillId="3" borderId="48" xfId="0" applyNumberFormat="1" applyFill="1" applyBorder="1" applyAlignment="1" applyProtection="1">
      <alignment horizontal="center" vertical="center" shrinkToFit="1"/>
      <protection hidden="1"/>
    </xf>
    <xf numFmtId="164" fontId="0" fillId="3" borderId="49" xfId="0" applyNumberFormat="1" applyFill="1" applyBorder="1" applyAlignment="1" applyProtection="1">
      <alignment horizontal="center" vertical="center" shrinkToFit="1"/>
      <protection hidden="1"/>
    </xf>
    <xf numFmtId="164" fontId="0" fillId="3" borderId="50" xfId="0" applyNumberFormat="1" applyFill="1" applyBorder="1" applyAlignment="1" applyProtection="1">
      <alignment horizontal="center" vertical="center" shrinkToFit="1"/>
      <protection hidden="1"/>
    </xf>
    <xf numFmtId="164" fontId="0" fillId="3" borderId="52" xfId="0" applyNumberFormat="1" applyFill="1" applyBorder="1" applyAlignment="1" applyProtection="1">
      <alignment horizontal="center" vertical="center" shrinkToFit="1"/>
      <protection hidden="1"/>
    </xf>
    <xf numFmtId="164" fontId="0" fillId="3" borderId="53" xfId="0" applyNumberFormat="1" applyFill="1" applyBorder="1" applyAlignment="1" applyProtection="1">
      <alignment horizontal="center" vertical="center" shrinkToFit="1"/>
      <protection hidden="1"/>
    </xf>
    <xf numFmtId="164" fontId="0" fillId="3" borderId="54" xfId="0" applyNumberFormat="1" applyFill="1" applyBorder="1" applyAlignment="1" applyProtection="1">
      <alignment horizontal="center" vertical="center" shrinkToFit="1"/>
      <protection hidden="1"/>
    </xf>
    <xf numFmtId="164" fontId="0" fillId="3" borderId="16" xfId="0" applyNumberFormat="1" applyFill="1" applyBorder="1" applyAlignment="1" applyProtection="1">
      <alignment horizontal="center" vertical="center" shrinkToFit="1"/>
      <protection hidden="1"/>
    </xf>
    <xf numFmtId="164" fontId="0" fillId="3" borderId="9" xfId="0" applyNumberFormat="1" applyFill="1" applyBorder="1" applyAlignment="1" applyProtection="1">
      <alignment horizontal="center" vertical="center" shrinkToFit="1"/>
      <protection hidden="1"/>
    </xf>
    <xf numFmtId="164" fontId="0" fillId="3" borderId="10" xfId="0" applyNumberFormat="1" applyFill="1" applyBorder="1" applyAlignment="1" applyProtection="1">
      <alignment horizontal="center" vertical="center" shrinkToFit="1"/>
      <protection hidden="1"/>
    </xf>
    <xf numFmtId="164" fontId="0" fillId="3" borderId="2" xfId="0" applyNumberFormat="1" applyFill="1" applyBorder="1" applyAlignment="1" applyProtection="1">
      <alignment horizontal="center" vertical="center" shrinkToFit="1"/>
      <protection hidden="1"/>
    </xf>
    <xf numFmtId="164" fontId="0" fillId="3" borderId="36" xfId="0" applyNumberFormat="1" applyFill="1" applyBorder="1" applyAlignment="1" applyProtection="1">
      <alignment horizontal="center" vertical="center" shrinkToFit="1"/>
      <protection hidden="1"/>
    </xf>
    <xf numFmtId="164" fontId="0" fillId="3" borderId="6" xfId="0" applyNumberFormat="1" applyFill="1" applyBorder="1" applyAlignment="1" applyProtection="1">
      <alignment horizontal="center" vertical="center" shrinkToFit="1"/>
      <protection hidden="1"/>
    </xf>
    <xf numFmtId="0" fontId="0" fillId="0" borderId="30" xfId="0" applyBorder="1" applyAlignment="1">
      <alignment horizontal="center" wrapText="1"/>
    </xf>
    <xf numFmtId="0" fontId="0" fillId="0" borderId="31" xfId="0" applyBorder="1" applyAlignment="1">
      <alignment horizontal="center" wrapText="1"/>
    </xf>
    <xf numFmtId="0" fontId="0" fillId="0" borderId="32" xfId="0" applyBorder="1" applyAlignment="1">
      <alignment horizontal="center" wrapText="1"/>
    </xf>
    <xf numFmtId="0" fontId="0" fillId="0" borderId="18" xfId="0" applyBorder="1" applyAlignment="1">
      <alignment horizontal="center" wrapText="1"/>
    </xf>
    <xf numFmtId="0" fontId="0" fillId="0" borderId="33" xfId="0" applyBorder="1" applyAlignment="1">
      <alignment horizontal="center" wrapText="1"/>
    </xf>
    <xf numFmtId="0" fontId="0" fillId="0" borderId="34" xfId="0" applyBorder="1" applyAlignment="1">
      <alignment horizontal="center" wrapText="1"/>
    </xf>
    <xf numFmtId="0" fontId="0" fillId="3" borderId="22" xfId="0" applyFill="1" applyBorder="1" applyAlignment="1" applyProtection="1">
      <alignment horizontal="center" vertical="center" wrapText="1" shrinkToFit="1"/>
      <protection hidden="1"/>
    </xf>
    <xf numFmtId="0" fontId="0" fillId="3" borderId="23" xfId="0" applyFill="1" applyBorder="1" applyAlignment="1" applyProtection="1">
      <alignment horizontal="center" vertical="center" wrapText="1" shrinkToFit="1"/>
      <protection hidden="1"/>
    </xf>
    <xf numFmtId="0" fontId="0" fillId="0" borderId="21" xfId="0" applyBorder="1" applyAlignment="1" applyProtection="1">
      <alignment horizontal="center" vertical="center" wrapText="1" shrinkToFit="1"/>
      <protection hidden="1"/>
    </xf>
    <xf numFmtId="0" fontId="0" fillId="0" borderId="22" xfId="0" applyBorder="1" applyAlignment="1" applyProtection="1">
      <alignment horizontal="center" vertical="center" wrapText="1" shrinkToFit="1"/>
      <protection hidden="1"/>
    </xf>
    <xf numFmtId="0" fontId="0" fillId="0" borderId="23" xfId="0" applyBorder="1" applyAlignment="1" applyProtection="1">
      <alignment horizontal="center" vertical="center" wrapText="1" shrinkToFit="1"/>
      <protection hidden="1"/>
    </xf>
    <xf numFmtId="0" fontId="7" fillId="0" borderId="1" xfId="0" applyFont="1" applyBorder="1" applyAlignment="1">
      <alignment horizontal="center" shrinkToFit="1"/>
    </xf>
    <xf numFmtId="0" fontId="7" fillId="0" borderId="36" xfId="0" applyFont="1" applyBorder="1" applyAlignment="1">
      <alignment horizontal="center" shrinkToFit="1"/>
    </xf>
    <xf numFmtId="0" fontId="9" fillId="3" borderId="36" xfId="0" applyFont="1" applyFill="1" applyBorder="1" applyAlignment="1" applyProtection="1">
      <alignment horizontal="center" vertical="center" shrinkToFit="1"/>
      <protection hidden="1"/>
    </xf>
    <xf numFmtId="0" fontId="8" fillId="3" borderId="38" xfId="0" applyFont="1" applyFill="1" applyBorder="1" applyAlignment="1" applyProtection="1">
      <alignment horizontal="center" vertical="center" wrapText="1" shrinkToFit="1"/>
      <protection hidden="1"/>
    </xf>
    <xf numFmtId="0" fontId="8" fillId="3" borderId="0" xfId="0" applyFont="1" applyFill="1" applyBorder="1" applyAlignment="1" applyProtection="1">
      <alignment horizontal="center" vertical="center" wrapText="1" shrinkToFit="1"/>
      <protection hidden="1"/>
    </xf>
    <xf numFmtId="0" fontId="8" fillId="3" borderId="27" xfId="0" applyFont="1" applyFill="1" applyBorder="1" applyAlignment="1" applyProtection="1">
      <alignment horizontal="center" vertical="center" wrapText="1" shrinkToFit="1"/>
      <protection hidden="1"/>
    </xf>
    <xf numFmtId="0" fontId="8" fillId="3" borderId="40" xfId="0" applyFont="1" applyFill="1" applyBorder="1" applyAlignment="1" applyProtection="1">
      <alignment horizontal="center" vertical="center" wrapText="1" shrinkToFit="1"/>
      <protection hidden="1"/>
    </xf>
    <xf numFmtId="0" fontId="8" fillId="3" borderId="33" xfId="0" applyFont="1" applyFill="1" applyBorder="1" applyAlignment="1" applyProtection="1">
      <alignment horizontal="center" vertical="center" wrapText="1" shrinkToFit="1"/>
      <protection hidden="1"/>
    </xf>
    <xf numFmtId="0" fontId="8" fillId="3" borderId="34" xfId="0" applyFont="1" applyFill="1" applyBorder="1" applyAlignment="1" applyProtection="1">
      <alignment horizontal="center" vertical="center" wrapText="1" shrinkToFit="1"/>
      <protection hidden="1"/>
    </xf>
    <xf numFmtId="0" fontId="3" fillId="2" borderId="21" xfId="0" applyFont="1" applyFill="1" applyBorder="1" applyAlignment="1" applyProtection="1">
      <alignment horizontal="center" vertical="center" wrapText="1" shrinkToFit="1"/>
      <protection hidden="1"/>
    </xf>
    <xf numFmtId="0" fontId="3" fillId="2" borderId="22" xfId="0" applyFont="1" applyFill="1" applyBorder="1" applyAlignment="1" applyProtection="1">
      <alignment horizontal="center" vertical="center" wrapText="1" shrinkToFit="1"/>
      <protection hidden="1"/>
    </xf>
    <xf numFmtId="0" fontId="3" fillId="2" borderId="23" xfId="0" applyFont="1" applyFill="1" applyBorder="1" applyAlignment="1" applyProtection="1">
      <alignment horizontal="center" vertical="center" wrapText="1" shrinkToFit="1"/>
      <protection hidden="1"/>
    </xf>
    <xf numFmtId="10" fontId="9" fillId="3" borderId="37" xfId="0" applyNumberFormat="1" applyFont="1" applyFill="1" applyBorder="1" applyAlignment="1" applyProtection="1">
      <alignment horizontal="center" vertical="center" shrinkToFit="1"/>
      <protection hidden="1"/>
    </xf>
    <xf numFmtId="10" fontId="9" fillId="3" borderId="39" xfId="0" applyNumberFormat="1" applyFont="1" applyFill="1" applyBorder="1" applyAlignment="1" applyProtection="1">
      <alignment horizontal="center" vertical="center" shrinkToFit="1"/>
      <protection hidden="1"/>
    </xf>
    <xf numFmtId="0" fontId="11" fillId="0" borderId="0" xfId="0" applyFont="1" applyAlignment="1">
      <alignment horizontal="center" vertical="center"/>
    </xf>
    <xf numFmtId="0" fontId="11" fillId="0" borderId="33" xfId="0" applyFont="1" applyBorder="1" applyAlignment="1">
      <alignment horizontal="center" vertical="center"/>
    </xf>
    <xf numFmtId="0" fontId="14" fillId="0" borderId="0" xfId="0" applyFont="1" applyAlignment="1" applyProtection="1">
      <alignment horizontal="center" vertical="top" wrapText="1" shrinkToFit="1"/>
      <protection hidden="1"/>
    </xf>
    <xf numFmtId="0" fontId="13" fillId="0" borderId="31" xfId="0" applyFont="1" applyBorder="1" applyAlignment="1" applyProtection="1">
      <alignment horizontal="center" wrapText="1" shrinkToFit="1"/>
      <protection hidden="1"/>
    </xf>
    <xf numFmtId="0" fontId="13" fillId="0" borderId="0" xfId="0" applyFont="1" applyAlignment="1" applyProtection="1">
      <alignment horizontal="center" wrapText="1" shrinkToFit="1"/>
      <protection hidden="1"/>
    </xf>
    <xf numFmtId="0" fontId="0" fillId="0" borderId="30" xfId="0" applyBorder="1" applyAlignment="1" applyProtection="1">
      <alignment horizontal="center" wrapText="1"/>
      <protection hidden="1"/>
    </xf>
    <xf numFmtId="0" fontId="0" fillId="0" borderId="31" xfId="0" applyBorder="1" applyAlignment="1" applyProtection="1">
      <alignment horizontal="center" wrapText="1"/>
      <protection hidden="1"/>
    </xf>
    <xf numFmtId="0" fontId="0" fillId="0" borderId="32" xfId="0" applyBorder="1" applyAlignment="1" applyProtection="1">
      <alignment horizontal="center" wrapText="1"/>
      <protection hidden="1"/>
    </xf>
    <xf numFmtId="0" fontId="0" fillId="0" borderId="18" xfId="0" applyBorder="1" applyAlignment="1" applyProtection="1">
      <alignment horizontal="center" wrapText="1"/>
      <protection hidden="1"/>
    </xf>
    <xf numFmtId="0" fontId="0" fillId="0" borderId="33" xfId="0" applyBorder="1" applyAlignment="1" applyProtection="1">
      <alignment horizontal="center" wrapText="1"/>
      <protection hidden="1"/>
    </xf>
    <xf numFmtId="0" fontId="0" fillId="0" borderId="34" xfId="0" applyBorder="1" applyAlignment="1" applyProtection="1">
      <alignment horizontal="center" wrapText="1"/>
      <protection hidden="1"/>
    </xf>
    <xf numFmtId="0" fontId="7" fillId="0" borderId="1" xfId="0" applyFont="1" applyBorder="1" applyAlignment="1" applyProtection="1">
      <alignment horizontal="center" shrinkToFit="1"/>
      <protection hidden="1"/>
    </xf>
    <xf numFmtId="0" fontId="7" fillId="0" borderId="36" xfId="0" applyFont="1" applyBorder="1" applyAlignment="1" applyProtection="1">
      <alignment horizontal="center" shrinkToFit="1"/>
      <protection hidden="1"/>
    </xf>
    <xf numFmtId="0" fontId="8" fillId="4" borderId="38" xfId="0" applyFont="1" applyFill="1" applyBorder="1" applyAlignment="1" applyProtection="1">
      <alignment horizontal="center" vertical="center" wrapText="1" shrinkToFit="1"/>
      <protection hidden="1"/>
    </xf>
    <xf numFmtId="0" fontId="8" fillId="4" borderId="0" xfId="0" applyFont="1" applyFill="1" applyBorder="1" applyAlignment="1" applyProtection="1">
      <alignment horizontal="center" vertical="center" wrapText="1" shrinkToFit="1"/>
      <protection hidden="1"/>
    </xf>
    <xf numFmtId="0" fontId="8" fillId="4" borderId="27" xfId="0" applyFont="1" applyFill="1" applyBorder="1" applyAlignment="1" applyProtection="1">
      <alignment horizontal="center" vertical="center" wrapText="1" shrinkToFit="1"/>
      <protection hidden="1"/>
    </xf>
    <xf numFmtId="0" fontId="8" fillId="4" borderId="40" xfId="0" applyFont="1" applyFill="1" applyBorder="1" applyAlignment="1" applyProtection="1">
      <alignment horizontal="center" vertical="center" wrapText="1" shrinkToFit="1"/>
      <protection hidden="1"/>
    </xf>
    <xf numFmtId="0" fontId="8" fillId="4" borderId="33" xfId="0" applyFont="1" applyFill="1" applyBorder="1" applyAlignment="1" applyProtection="1">
      <alignment horizontal="center" vertical="center" wrapText="1" shrinkToFit="1"/>
      <protection hidden="1"/>
    </xf>
    <xf numFmtId="0" fontId="8" fillId="4" borderId="34" xfId="0" applyFont="1" applyFill="1" applyBorder="1" applyAlignment="1" applyProtection="1">
      <alignment horizontal="center" vertical="center" wrapText="1" shrinkToFit="1"/>
      <protection hidden="1"/>
    </xf>
    <xf numFmtId="0" fontId="0" fillId="0" borderId="36" xfId="0" applyBorder="1" applyAlignment="1" applyProtection="1">
      <alignment horizontal="center"/>
      <protection hidden="1"/>
    </xf>
    <xf numFmtId="0" fontId="11" fillId="0" borderId="0" xfId="0" applyFont="1" applyAlignment="1" applyProtection="1">
      <alignment horizontal="center" vertical="center"/>
      <protection hidden="1"/>
    </xf>
    <xf numFmtId="0" fontId="11" fillId="0" borderId="33" xfId="0" applyFont="1" applyBorder="1" applyAlignment="1" applyProtection="1">
      <alignment horizontal="center" vertical="center"/>
      <protection hidden="1"/>
    </xf>
    <xf numFmtId="0" fontId="15" fillId="0" borderId="0" xfId="1" applyFont="1" applyAlignment="1" applyProtection="1">
      <alignment horizontal="center" vertical="top" wrapText="1" shrinkToFit="1"/>
      <protection hidden="1"/>
    </xf>
    <xf numFmtId="164" fontId="1" fillId="3" borderId="0" xfId="0" applyNumberFormat="1" applyFont="1" applyFill="1" applyBorder="1" applyAlignment="1" applyProtection="1">
      <alignment horizontal="center" vertical="center" shrinkToFit="1"/>
      <protection hidden="1"/>
    </xf>
    <xf numFmtId="0" fontId="11" fillId="0" borderId="0" xfId="0" applyFont="1" applyBorder="1" applyAlignment="1" applyProtection="1">
      <alignment horizontal="center" vertical="center"/>
      <protection hidden="1"/>
    </xf>
    <xf numFmtId="0" fontId="1" fillId="3" borderId="0" xfId="0" applyFont="1" applyFill="1" applyBorder="1" applyAlignment="1" applyProtection="1">
      <alignment horizontal="center" vertical="center" shrinkToFit="1"/>
      <protection hidden="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2013-2024 года</c:v>
          </c:tx>
          <c:marker>
            <c:symbol val="none"/>
          </c:marker>
          <c:cat>
            <c:numRef>
              <c:f>Динамика!$A$1:$A$22</c:f>
              <c:numCache>
                <c:formatCode>General</c:formatCode>
                <c:ptCount val="22"/>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pt idx="21">
                  <c:v>2034</c:v>
                </c:pt>
              </c:numCache>
            </c:numRef>
          </c:cat>
          <c:val>
            <c:numRef>
              <c:f>Динамика!$B$1:$B$22</c:f>
              <c:numCache>
                <c:formatCode>General</c:formatCode>
                <c:ptCount val="22"/>
                <c:pt idx="0">
                  <c:v>35664.659999999996</c:v>
                </c:pt>
                <c:pt idx="1">
                  <c:v>20727.527999999998</c:v>
                </c:pt>
                <c:pt idx="2">
                  <c:v>22261.380000000005</c:v>
                </c:pt>
                <c:pt idx="3">
                  <c:v>23153.328000000001</c:v>
                </c:pt>
                <c:pt idx="4">
                  <c:v>27990</c:v>
                </c:pt>
                <c:pt idx="5">
                  <c:v>32385</c:v>
                </c:pt>
                <c:pt idx="6">
                  <c:v>36238</c:v>
                </c:pt>
                <c:pt idx="7">
                  <c:v>40874</c:v>
                </c:pt>
                <c:pt idx="8">
                  <c:v>40874</c:v>
                </c:pt>
                <c:pt idx="9">
                  <c:v>43211</c:v>
                </c:pt>
                <c:pt idx="10">
                  <c:v>45842</c:v>
                </c:pt>
                <c:pt idx="11">
                  <c:v>49500</c:v>
                </c:pt>
              </c:numCache>
            </c:numRef>
          </c:val>
          <c:smooth val="0"/>
        </c:ser>
        <c:ser>
          <c:idx val="2"/>
          <c:order val="1"/>
          <c:tx>
            <c:v>Прогнозируемо!!!</c:v>
          </c:tx>
          <c:marker>
            <c:symbol val="none"/>
          </c:marker>
          <c:cat>
            <c:numRef>
              <c:f>Динамика!$A$1:$A$22</c:f>
              <c:numCache>
                <c:formatCode>General</c:formatCode>
                <c:ptCount val="22"/>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pt idx="21">
                  <c:v>2034</c:v>
                </c:pt>
              </c:numCache>
            </c:numRef>
          </c:cat>
          <c:val>
            <c:numRef>
              <c:f>Динамика!$D$1:$D$22</c:f>
              <c:numCache>
                <c:formatCode>General</c:formatCode>
                <c:ptCount val="22"/>
                <c:pt idx="12">
                  <c:v>56208.953939393898</c:v>
                </c:pt>
                <c:pt idx="13">
                  <c:v>59185.204596736599</c:v>
                </c:pt>
                <c:pt idx="14">
                  <c:v>62161.455254079301</c:v>
                </c:pt>
                <c:pt idx="15">
                  <c:v>65137.705911422003</c:v>
                </c:pt>
                <c:pt idx="16">
                  <c:v>68113.956568764595</c:v>
                </c:pt>
                <c:pt idx="17">
                  <c:v>71090.207226107304</c:v>
                </c:pt>
                <c:pt idx="18">
                  <c:v>74066.457883449897</c:v>
                </c:pt>
                <c:pt idx="19">
                  <c:v>77042.708540792504</c:v>
                </c:pt>
                <c:pt idx="20">
                  <c:v>80018.959198135199</c:v>
                </c:pt>
                <c:pt idx="21">
                  <c:v>82995.209855477806</c:v>
                </c:pt>
              </c:numCache>
            </c:numRef>
          </c:val>
          <c:smooth val="0"/>
        </c:ser>
        <c:ser>
          <c:idx val="0"/>
          <c:order val="2"/>
          <c:tx>
            <c:v>еще не утверждено!!!</c:v>
          </c:tx>
          <c:marker>
            <c:symbol val="none"/>
          </c:marker>
          <c:val>
            <c:numRef>
              <c:f>Динамика!$C$1:$C$22</c:f>
              <c:numCache>
                <c:formatCode>General</c:formatCode>
                <c:ptCount val="22"/>
                <c:pt idx="12">
                  <c:v>53658</c:v>
                </c:pt>
                <c:pt idx="13">
                  <c:v>57390</c:v>
                </c:pt>
                <c:pt idx="14">
                  <c:v>61154</c:v>
                </c:pt>
              </c:numCache>
            </c:numRef>
          </c:val>
          <c:smooth val="0"/>
        </c:ser>
        <c:dLbls>
          <c:showLegendKey val="0"/>
          <c:showVal val="0"/>
          <c:showCatName val="0"/>
          <c:showSerName val="0"/>
          <c:showPercent val="0"/>
          <c:showBubbleSize val="0"/>
        </c:dLbls>
        <c:marker val="1"/>
        <c:smooth val="0"/>
        <c:axId val="228066816"/>
        <c:axId val="228068352"/>
      </c:lineChart>
      <c:catAx>
        <c:axId val="228066816"/>
        <c:scaling>
          <c:orientation val="minMax"/>
        </c:scaling>
        <c:delete val="0"/>
        <c:axPos val="b"/>
        <c:numFmt formatCode="General" sourceLinked="1"/>
        <c:majorTickMark val="out"/>
        <c:minorTickMark val="none"/>
        <c:tickLblPos val="nextTo"/>
        <c:crossAx val="228068352"/>
        <c:crosses val="autoZero"/>
        <c:auto val="1"/>
        <c:lblAlgn val="ctr"/>
        <c:lblOffset val="100"/>
        <c:tickLblSkip val="2"/>
        <c:tickMarkSkip val="5"/>
        <c:noMultiLvlLbl val="0"/>
      </c:catAx>
      <c:valAx>
        <c:axId val="228068352"/>
        <c:scaling>
          <c:orientation val="minMax"/>
        </c:scaling>
        <c:delete val="0"/>
        <c:axPos val="l"/>
        <c:majorGridlines/>
        <c:numFmt formatCode="General" sourceLinked="1"/>
        <c:majorTickMark val="out"/>
        <c:minorTickMark val="none"/>
        <c:tickLblPos val="nextTo"/>
        <c:crossAx val="228066816"/>
        <c:crosses val="autoZero"/>
        <c:crossBetween val="between"/>
      </c:valAx>
    </c:plotArea>
    <c:legend>
      <c:legendPos val="r"/>
      <c:overlay val="0"/>
    </c:legend>
    <c:plotVisOnly val="1"/>
    <c:dispBlanksAs val="gap"/>
    <c:showDLblsOverMax val="0"/>
  </c:chart>
  <c:printSettings>
    <c:headerFooter/>
    <c:pageMargins b="0.75000000000000133" l="0.70000000000000062" r="0.70000000000000062" t="0.75000000000000133" header="0.30000000000000032" footer="0.3000000000000003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11.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12.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13.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14.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15.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16.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8.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_rels/drawing9.xml.rels><?xml version="1.0" encoding="UTF-8" standalone="yes"?>
<Relationships xmlns="http://schemas.openxmlformats.org/package/2006/relationships"><Relationship Id="rId1" Type="http://schemas.openxmlformats.org/officeDocument/2006/relationships/hyperlink" Target="https://www.nalog.ru/rn26/service/ops/" TargetMode="External"/></Relationships>
</file>

<file path=xl/drawings/drawing1.xml><?xml version="1.0" encoding="utf-8"?>
<xdr:wsDr xmlns:xdr="http://schemas.openxmlformats.org/drawingml/2006/spreadsheetDrawing" xmlns:a="http://schemas.openxmlformats.org/drawingml/2006/main">
  <xdr:twoCellAnchor>
    <xdr:from>
      <xdr:col>5</xdr:col>
      <xdr:colOff>396875</xdr:colOff>
      <xdr:row>0</xdr:row>
      <xdr:rowOff>158749</xdr:rowOff>
    </xdr:from>
    <xdr:to>
      <xdr:col>18</xdr:col>
      <xdr:colOff>463550</xdr:colOff>
      <xdr:row>26</xdr:row>
      <xdr:rowOff>53974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7</xdr:col>
      <xdr:colOff>123825</xdr:colOff>
      <xdr:row>9</xdr:row>
      <xdr:rowOff>28575</xdr:rowOff>
    </xdr:from>
    <xdr:to>
      <xdr:col>11</xdr:col>
      <xdr:colOff>47624</xdr:colOff>
      <xdr:row>11</xdr:row>
      <xdr:rowOff>123825</xdr:rowOff>
    </xdr:to>
    <xdr:sp macro="" textlink="">
      <xdr:nvSpPr>
        <xdr:cNvPr id="2" name="Полилиния 1"/>
        <xdr:cNvSpPr>
          <a:spLocks noChangeAspect="1"/>
        </xdr:cNvSpPr>
      </xdr:nvSpPr>
      <xdr:spPr>
        <a:xfrm>
          <a:off x="5238750"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7</xdr:col>
      <xdr:colOff>123825</xdr:colOff>
      <xdr:row>9</xdr:row>
      <xdr:rowOff>28575</xdr:rowOff>
    </xdr:from>
    <xdr:to>
      <xdr:col>11</xdr:col>
      <xdr:colOff>47624</xdr:colOff>
      <xdr:row>11</xdr:row>
      <xdr:rowOff>123825</xdr:rowOff>
    </xdr:to>
    <xdr:sp macro="" textlink="">
      <xdr:nvSpPr>
        <xdr:cNvPr id="2" name="Полилиния 1"/>
        <xdr:cNvSpPr>
          <a:spLocks noChangeAspect="1"/>
        </xdr:cNvSpPr>
      </xdr:nvSpPr>
      <xdr:spPr>
        <a:xfrm>
          <a:off x="5238750"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7</xdr:col>
      <xdr:colOff>123825</xdr:colOff>
      <xdr:row>9</xdr:row>
      <xdr:rowOff>28575</xdr:rowOff>
    </xdr:from>
    <xdr:to>
      <xdr:col>11</xdr:col>
      <xdr:colOff>47624</xdr:colOff>
      <xdr:row>11</xdr:row>
      <xdr:rowOff>123825</xdr:rowOff>
    </xdr:to>
    <xdr:sp macro="" textlink="">
      <xdr:nvSpPr>
        <xdr:cNvPr id="2" name="Полилиния 1"/>
        <xdr:cNvSpPr>
          <a:spLocks noChangeAspect="1"/>
        </xdr:cNvSpPr>
      </xdr:nvSpPr>
      <xdr:spPr>
        <a:xfrm>
          <a:off x="5238750"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7</xdr:col>
      <xdr:colOff>123825</xdr:colOff>
      <xdr:row>9</xdr:row>
      <xdr:rowOff>28575</xdr:rowOff>
    </xdr:from>
    <xdr:to>
      <xdr:col>11</xdr:col>
      <xdr:colOff>47624</xdr:colOff>
      <xdr:row>11</xdr:row>
      <xdr:rowOff>123825</xdr:rowOff>
    </xdr:to>
    <xdr:sp macro="" textlink="">
      <xdr:nvSpPr>
        <xdr:cNvPr id="2" name="Полилиния 1"/>
        <xdr:cNvSpPr>
          <a:spLocks noChangeAspect="1"/>
        </xdr:cNvSpPr>
      </xdr:nvSpPr>
      <xdr:spPr>
        <a:xfrm>
          <a:off x="5238750"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20</xdr:row>
      <xdr:rowOff>0</xdr:rowOff>
    </xdr:from>
    <xdr:to>
      <xdr:col>11</xdr:col>
      <xdr:colOff>104775</xdr:colOff>
      <xdr:row>22</xdr:row>
      <xdr:rowOff>57150</xdr:rowOff>
    </xdr:to>
    <xdr:sp macro="" textlink="">
      <xdr:nvSpPr>
        <xdr:cNvPr id="4" name="Прямоугольник 3">
          <a:hlinkClick xmlns:r="http://schemas.openxmlformats.org/officeDocument/2006/relationships" r:id="rId1"/>
        </xdr:cNvPr>
        <xdr:cNvSpPr/>
      </xdr:nvSpPr>
      <xdr:spPr>
        <a:xfrm>
          <a:off x="323850" y="35052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05765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28576</xdr:colOff>
      <xdr:row>21</xdr:row>
      <xdr:rowOff>495301</xdr:rowOff>
    </xdr:from>
    <xdr:to>
      <xdr:col>10</xdr:col>
      <xdr:colOff>552451</xdr:colOff>
      <xdr:row>24</xdr:row>
      <xdr:rowOff>47626</xdr:rowOff>
    </xdr:to>
    <xdr:sp macro="" textlink="">
      <xdr:nvSpPr>
        <xdr:cNvPr id="3" name="Прямоугольник 2">
          <a:hlinkClick xmlns:r="http://schemas.openxmlformats.org/officeDocument/2006/relationships" r:id="rId1"/>
        </xdr:cNvPr>
        <xdr:cNvSpPr/>
      </xdr:nvSpPr>
      <xdr:spPr>
        <a:xfrm>
          <a:off x="352426" y="4191001"/>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7</xdr:col>
      <xdr:colOff>142875</xdr:colOff>
      <xdr:row>9</xdr:row>
      <xdr:rowOff>28575</xdr:rowOff>
    </xdr:from>
    <xdr:to>
      <xdr:col>11</xdr:col>
      <xdr:colOff>66674</xdr:colOff>
      <xdr:row>11</xdr:row>
      <xdr:rowOff>123825</xdr:rowOff>
    </xdr:to>
    <xdr:sp macro="" textlink="">
      <xdr:nvSpPr>
        <xdr:cNvPr id="2" name="Полилиния 1"/>
        <xdr:cNvSpPr>
          <a:spLocks noChangeAspect="1"/>
        </xdr:cNvSpPr>
      </xdr:nvSpPr>
      <xdr:spPr>
        <a:xfrm>
          <a:off x="5610225" y="1390650"/>
          <a:ext cx="3009899" cy="495300"/>
        </a:xfrm>
        <a:custGeom>
          <a:avLst/>
          <a:gdLst>
            <a:gd name="connsiteX0" fmla="*/ 0 w 2657475"/>
            <a:gd name="connsiteY0" fmla="*/ 366713 h 733425"/>
            <a:gd name="connsiteX1" fmla="*/ 366713 w 2657475"/>
            <a:gd name="connsiteY1" fmla="*/ 0 h 733425"/>
            <a:gd name="connsiteX2" fmla="*/ 366713 w 2657475"/>
            <a:gd name="connsiteY2" fmla="*/ 183356 h 733425"/>
            <a:gd name="connsiteX3" fmla="*/ 2657475 w 2657475"/>
            <a:gd name="connsiteY3" fmla="*/ 183356 h 733425"/>
            <a:gd name="connsiteX4" fmla="*/ 2657475 w 2657475"/>
            <a:gd name="connsiteY4" fmla="*/ 550069 h 733425"/>
            <a:gd name="connsiteX5" fmla="*/ 366713 w 2657475"/>
            <a:gd name="connsiteY5" fmla="*/ 550069 h 733425"/>
            <a:gd name="connsiteX6" fmla="*/ 366713 w 2657475"/>
            <a:gd name="connsiteY6" fmla="*/ 733425 h 733425"/>
            <a:gd name="connsiteX7" fmla="*/ 0 w 2657475"/>
            <a:gd name="connsiteY7" fmla="*/ 366713 h 733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657475" h="733425">
              <a:moveTo>
                <a:pt x="0" y="366713"/>
              </a:moveTo>
              <a:lnTo>
                <a:pt x="366713" y="0"/>
              </a:lnTo>
              <a:lnTo>
                <a:pt x="366713" y="183356"/>
              </a:lnTo>
              <a:lnTo>
                <a:pt x="2657475" y="183356"/>
              </a:lnTo>
              <a:lnTo>
                <a:pt x="2657475" y="550069"/>
              </a:lnTo>
              <a:lnTo>
                <a:pt x="366713" y="550069"/>
              </a:lnTo>
              <a:lnTo>
                <a:pt x="366713" y="733425"/>
              </a:lnTo>
              <a:lnTo>
                <a:pt x="0" y="366713"/>
              </a:lnTo>
              <a:close/>
            </a:path>
          </a:pathLst>
        </a:cu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Изменения</a:t>
          </a:r>
          <a:r>
            <a:rPr lang="ru-RU" sz="11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вносить сюда</a:t>
          </a:r>
          <a:endParaRPr lang="ru-RU"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PrintsWithSheet="0"/>
  </xdr:twoCellAnchor>
  <xdr:twoCellAnchor editAs="absolute">
    <xdr:from>
      <xdr:col>1</xdr:col>
      <xdr:colOff>0</xdr:colOff>
      <xdr:row>22</xdr:row>
      <xdr:rowOff>0</xdr:rowOff>
    </xdr:from>
    <xdr:to>
      <xdr:col>10</xdr:col>
      <xdr:colOff>523875</xdr:colOff>
      <xdr:row>24</xdr:row>
      <xdr:rowOff>57150</xdr:rowOff>
    </xdr:to>
    <xdr:sp macro="" textlink="">
      <xdr:nvSpPr>
        <xdr:cNvPr id="3" name="Прямоугольник 2">
          <a:hlinkClick xmlns:r="http://schemas.openxmlformats.org/officeDocument/2006/relationships" r:id="rId1"/>
        </xdr:cNvPr>
        <xdr:cNvSpPr/>
      </xdr:nvSpPr>
      <xdr:spPr>
        <a:xfrm>
          <a:off x="323850" y="4114800"/>
          <a:ext cx="7981950" cy="438150"/>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ru-RU" sz="1600">
              <a:solidFill>
                <a:srgbClr val="FF0000"/>
              </a:solidFill>
            </a:rPr>
            <a:t>Нажмите чтобы перепроверить данный расчет на сайте ФНС</a:t>
          </a:r>
        </a:p>
      </xdr:txBody>
    </xdr:sp>
    <xdr:clientData fPrintsWithSheet="0"/>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publication.pravo.gov.ru/Document/View/0001201711270067"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publication.pravo.gov.ru/Document/View/0001201711270067"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publication.pravo.gov.ru/Document/View/0001201711270067"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publication.pravo.gov.ru/Document/View/0001201711270067"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publication.pravo.gov.ru/Document/View/0001201711270067"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publication.pravo.gov.ru/Document/View/0001201711270067"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6.bin"/><Relationship Id="rId1" Type="http://schemas.openxmlformats.org/officeDocument/2006/relationships/hyperlink" Target="http://publication.pravo.gov.ru/Document/View/0001201711270067"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publication.pravo.gov.ru/Document/View/000120171127006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consultant.ru/document/cons_doc_LAW_149673/" TargetMode="External"/><Relationship Id="rId1" Type="http://schemas.openxmlformats.org/officeDocument/2006/relationships/hyperlink" Target="http://www.bashinform.ru/news/583994"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publication.pravo.gov.ru/Document/View/0001201711270067"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publication.pravo.gov.ru/Document/View/0001201711270067"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publication.pravo.gov.ru/Document/View/00012017112700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activeCell="G11" sqref="G11"/>
    </sheetView>
  </sheetViews>
  <sheetFormatPr defaultRowHeight="15" x14ac:dyDescent="0.25"/>
  <cols>
    <col min="5" max="5" width="19.28515625" bestFit="1" customWidth="1"/>
  </cols>
  <sheetData>
    <row r="1" spans="1:5" x14ac:dyDescent="0.25">
      <c r="A1">
        <v>2013</v>
      </c>
      <c r="B1">
        <f>'2013'!D7</f>
        <v>35664.659999999996</v>
      </c>
    </row>
    <row r="2" spans="1:5" x14ac:dyDescent="0.25">
      <c r="A2">
        <v>2014</v>
      </c>
      <c r="B2">
        <f>'2014'!D9</f>
        <v>20727.527999999998</v>
      </c>
    </row>
    <row r="3" spans="1:5" x14ac:dyDescent="0.25">
      <c r="A3">
        <v>2015</v>
      </c>
      <c r="B3">
        <f>'2015'!D9</f>
        <v>22261.380000000005</v>
      </c>
    </row>
    <row r="4" spans="1:5" x14ac:dyDescent="0.25">
      <c r="A4">
        <v>2016</v>
      </c>
      <c r="B4">
        <f>'2016'!D9</f>
        <v>23153.328000000001</v>
      </c>
    </row>
    <row r="5" spans="1:5" x14ac:dyDescent="0.25">
      <c r="A5">
        <v>2017</v>
      </c>
      <c r="B5">
        <f>'2017'!D9</f>
        <v>27990</v>
      </c>
    </row>
    <row r="6" spans="1:5" x14ac:dyDescent="0.25">
      <c r="A6">
        <v>2018</v>
      </c>
      <c r="B6">
        <f>'2018'!D9</f>
        <v>32385</v>
      </c>
    </row>
    <row r="7" spans="1:5" x14ac:dyDescent="0.25">
      <c r="A7">
        <v>2019</v>
      </c>
      <c r="B7">
        <f>'2019'!D9</f>
        <v>36238</v>
      </c>
    </row>
    <row r="8" spans="1:5" x14ac:dyDescent="0.25">
      <c r="A8">
        <v>2020</v>
      </c>
      <c r="B8">
        <f>'2020'!D9</f>
        <v>40874</v>
      </c>
    </row>
    <row r="9" spans="1:5" x14ac:dyDescent="0.25">
      <c r="A9">
        <v>2021</v>
      </c>
      <c r="B9">
        <f>'2021'!D9</f>
        <v>40874</v>
      </c>
      <c r="E9" s="63"/>
    </row>
    <row r="10" spans="1:5" x14ac:dyDescent="0.25">
      <c r="A10">
        <v>2022</v>
      </c>
      <c r="B10">
        <f>'2022'!D9</f>
        <v>43211</v>
      </c>
      <c r="E10" s="63"/>
    </row>
    <row r="11" spans="1:5" x14ac:dyDescent="0.25">
      <c r="A11">
        <v>2023</v>
      </c>
      <c r="B11">
        <f>'2023'!D9</f>
        <v>45842</v>
      </c>
      <c r="E11" s="63"/>
    </row>
    <row r="12" spans="1:5" x14ac:dyDescent="0.25">
      <c r="A12">
        <v>2024</v>
      </c>
      <c r="B12">
        <f>'2024'!D9</f>
        <v>49500</v>
      </c>
      <c r="E12" s="63"/>
    </row>
    <row r="13" spans="1:5" x14ac:dyDescent="0.25">
      <c r="A13">
        <v>2025</v>
      </c>
      <c r="C13" s="80">
        <v>53658</v>
      </c>
      <c r="D13">
        <v>56208.953939393898</v>
      </c>
      <c r="E13" t="s">
        <v>48</v>
      </c>
    </row>
    <row r="14" spans="1:5" x14ac:dyDescent="0.25">
      <c r="A14">
        <v>2026</v>
      </c>
      <c r="C14" s="80">
        <v>57390</v>
      </c>
      <c r="D14">
        <v>59185.204596736599</v>
      </c>
      <c r="E14" t="s">
        <v>48</v>
      </c>
    </row>
    <row r="15" spans="1:5" x14ac:dyDescent="0.25">
      <c r="A15">
        <v>2027</v>
      </c>
      <c r="C15" s="80">
        <v>61154</v>
      </c>
      <c r="D15">
        <v>62161.455254079301</v>
      </c>
      <c r="E15" t="s">
        <v>48</v>
      </c>
    </row>
    <row r="16" spans="1:5" x14ac:dyDescent="0.25">
      <c r="A16">
        <v>2028</v>
      </c>
      <c r="D16">
        <v>65137.705911422003</v>
      </c>
      <c r="E16" t="s">
        <v>33</v>
      </c>
    </row>
    <row r="17" spans="1:5" x14ac:dyDescent="0.25">
      <c r="A17">
        <v>2029</v>
      </c>
      <c r="D17">
        <v>68113.956568764595</v>
      </c>
      <c r="E17" t="s">
        <v>33</v>
      </c>
    </row>
    <row r="18" spans="1:5" x14ac:dyDescent="0.25">
      <c r="A18">
        <v>2030</v>
      </c>
      <c r="D18">
        <v>71090.207226107304</v>
      </c>
      <c r="E18" t="s">
        <v>33</v>
      </c>
    </row>
    <row r="19" spans="1:5" x14ac:dyDescent="0.25">
      <c r="A19">
        <v>2031</v>
      </c>
      <c r="D19">
        <v>74066.457883449897</v>
      </c>
      <c r="E19" t="s">
        <v>33</v>
      </c>
    </row>
    <row r="20" spans="1:5" x14ac:dyDescent="0.25">
      <c r="A20">
        <v>2032</v>
      </c>
      <c r="D20">
        <v>77042.708540792504</v>
      </c>
      <c r="E20" t="s">
        <v>33</v>
      </c>
    </row>
    <row r="21" spans="1:5" x14ac:dyDescent="0.25">
      <c r="A21">
        <v>2033</v>
      </c>
      <c r="D21">
        <v>80018.959198135199</v>
      </c>
      <c r="E21" t="s">
        <v>33</v>
      </c>
    </row>
    <row r="22" spans="1:5" x14ac:dyDescent="0.25">
      <c r="A22">
        <v>2034</v>
      </c>
      <c r="D22">
        <v>82995.209855477806</v>
      </c>
      <c r="E22" t="s">
        <v>33</v>
      </c>
    </row>
  </sheetData>
  <pageMargins left="0.7" right="0.7" top="0.75" bottom="0.75" header="0.3" footer="0.3"/>
  <pageSetup paperSize="9" scale="7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15.140625" style="64" hidden="1" customWidth="1"/>
    <col min="14" max="14" width="16.28515625" style="65" hidden="1" customWidth="1"/>
    <col min="15" max="15" width="0" style="64" hidden="1" customWidth="1"/>
    <col min="16" max="16384" width="9.140625" style="64"/>
  </cols>
  <sheetData>
    <row r="1" spans="1:15" ht="15" customHeight="1" x14ac:dyDescent="0.25">
      <c r="A1" s="24"/>
      <c r="B1" s="171" t="str">
        <f>CONCATENATE("Фиксированные платежи ИП в ПФР ",O2," год")</f>
        <v>Фиксированные платежи ИП в ПФР 2021 год</v>
      </c>
      <c r="C1" s="171"/>
      <c r="D1" s="171"/>
      <c r="E1" s="171"/>
      <c r="F1" s="171"/>
      <c r="G1" s="171"/>
      <c r="H1" s="171"/>
      <c r="I1" s="171"/>
      <c r="J1" s="171"/>
      <c r="K1" s="171"/>
      <c r="O1" s="64" t="s">
        <v>35</v>
      </c>
    </row>
    <row r="2" spans="1:15" ht="15.75" customHeight="1" thickBot="1" x14ac:dyDescent="0.3">
      <c r="A2" s="25"/>
      <c r="B2" s="172"/>
      <c r="C2" s="172"/>
      <c r="D2" s="172"/>
      <c r="E2" s="172"/>
      <c r="F2" s="172"/>
      <c r="G2" s="172"/>
      <c r="H2" s="172"/>
      <c r="I2" s="172"/>
      <c r="J2" s="172"/>
      <c r="K2" s="172"/>
      <c r="M2" s="170" t="s">
        <v>31</v>
      </c>
      <c r="N2" s="170"/>
      <c r="O2" s="66" t="s">
        <v>37</v>
      </c>
    </row>
    <row r="3" spans="1:15" x14ac:dyDescent="0.25">
      <c r="A3" s="25"/>
      <c r="B3" s="96"/>
      <c r="C3" s="93" t="s">
        <v>6</v>
      </c>
      <c r="D3" s="94"/>
      <c r="E3" s="95"/>
      <c r="F3" s="93" t="s">
        <v>7</v>
      </c>
      <c r="G3" s="94"/>
      <c r="H3" s="94"/>
      <c r="I3" s="93" t="s">
        <v>0</v>
      </c>
      <c r="J3" s="94"/>
      <c r="K3" s="95"/>
      <c r="M3" s="67" t="s">
        <v>29</v>
      </c>
      <c r="N3" s="68">
        <v>32448</v>
      </c>
    </row>
    <row r="4" spans="1:15" ht="15.75" thickBot="1" x14ac:dyDescent="0.3">
      <c r="A4" s="25"/>
      <c r="B4" s="97"/>
      <c r="C4" s="28" t="s">
        <v>1</v>
      </c>
      <c r="D4" s="29" t="s">
        <v>2</v>
      </c>
      <c r="E4" s="30" t="s">
        <v>3</v>
      </c>
      <c r="F4" s="51" t="s">
        <v>1</v>
      </c>
      <c r="G4" s="52" t="s">
        <v>2</v>
      </c>
      <c r="H4" s="53" t="s">
        <v>3</v>
      </c>
      <c r="I4" s="28" t="s">
        <v>1</v>
      </c>
      <c r="J4" s="29" t="s">
        <v>2</v>
      </c>
      <c r="K4" s="30" t="s">
        <v>3</v>
      </c>
      <c r="M4" s="62" t="s">
        <v>30</v>
      </c>
      <c r="N4" s="68">
        <v>0</v>
      </c>
    </row>
    <row r="5" spans="1:15" ht="15" customHeight="1" x14ac:dyDescent="0.25">
      <c r="A5" s="103"/>
      <c r="B5" s="110" t="s">
        <v>17</v>
      </c>
      <c r="C5" s="9">
        <f>IF(G11&lt;300000.01,N3,0)</f>
        <v>32448</v>
      </c>
      <c r="D5" s="56">
        <f>C5/4</f>
        <v>8112</v>
      </c>
      <c r="E5" s="57">
        <f>C5/12</f>
        <v>2704</v>
      </c>
      <c r="F5" s="111"/>
      <c r="G5" s="112"/>
      <c r="H5" s="113"/>
      <c r="I5" s="120">
        <f>N5</f>
        <v>8426</v>
      </c>
      <c r="J5" s="123">
        <f>I5/4</f>
        <v>2106.5</v>
      </c>
      <c r="K5" s="100">
        <f>I5/12</f>
        <v>702.16666666666663</v>
      </c>
      <c r="M5" s="67" t="s">
        <v>21</v>
      </c>
      <c r="N5" s="68">
        <v>8426</v>
      </c>
    </row>
    <row r="6" spans="1:15" ht="15.75" hidden="1" customHeight="1" thickBot="1" x14ac:dyDescent="0.3">
      <c r="A6" s="103"/>
      <c r="B6" s="104"/>
      <c r="C6" s="3" t="e">
        <f>IF(G11&lt;300001,G10*G14*12,"-")</f>
        <v>#VALUE!</v>
      </c>
      <c r="D6" s="7" t="e">
        <f>C6/4</f>
        <v>#VALUE!</v>
      </c>
      <c r="E6" s="50" t="e">
        <f>C6/12</f>
        <v>#VALUE!</v>
      </c>
      <c r="F6" s="114"/>
      <c r="G6" s="115"/>
      <c r="H6" s="116"/>
      <c r="I6" s="121"/>
      <c r="J6" s="124"/>
      <c r="K6" s="101"/>
    </row>
    <row r="7" spans="1:15" ht="15" customHeight="1" x14ac:dyDescent="0.25">
      <c r="A7" s="103"/>
      <c r="B7" s="104" t="s">
        <v>23</v>
      </c>
      <c r="C7" s="3">
        <f>IF(G11&gt;300000,N3+((G11-300000)/100*1),0)</f>
        <v>0</v>
      </c>
      <c r="D7" s="4">
        <f>C7/4</f>
        <v>0</v>
      </c>
      <c r="E7" s="49">
        <f>C7/12</f>
        <v>0</v>
      </c>
      <c r="F7" s="114"/>
      <c r="G7" s="115"/>
      <c r="H7" s="116"/>
      <c r="I7" s="121"/>
      <c r="J7" s="124"/>
      <c r="K7" s="101"/>
      <c r="M7" s="69" t="s">
        <v>32</v>
      </c>
      <c r="N7" s="68">
        <f>(N3*8)+N5</f>
        <v>268010</v>
      </c>
    </row>
    <row r="8" spans="1:15" ht="15.75" hidden="1" customHeight="1" thickBot="1" x14ac:dyDescent="0.3">
      <c r="A8" s="103"/>
      <c r="B8" s="105"/>
      <c r="C8" s="58" t="str">
        <f>IF(G11&gt;300000,G10*G14*12+((G11-300000)*1%),"-")</f>
        <v>-</v>
      </c>
      <c r="D8" s="7" t="e">
        <f>C8/4</f>
        <v>#VALUE!</v>
      </c>
      <c r="E8" s="50" t="e">
        <f>C8/12</f>
        <v>#VALUE!</v>
      </c>
      <c r="F8" s="117"/>
      <c r="G8" s="118"/>
      <c r="H8" s="119"/>
      <c r="I8" s="122"/>
      <c r="J8" s="125"/>
      <c r="K8" s="102"/>
    </row>
    <row r="9" spans="1:15" ht="15.75" thickBot="1" x14ac:dyDescent="0.3">
      <c r="A9" s="25"/>
      <c r="B9" s="132" t="s">
        <v>14</v>
      </c>
      <c r="C9" s="3" t="s">
        <v>1</v>
      </c>
      <c r="D9" s="5">
        <f>IF(G11&lt;300000,C5+I5,0)</f>
        <v>40874</v>
      </c>
      <c r="E9" s="33"/>
      <c r="F9" s="34"/>
      <c r="G9" s="34"/>
      <c r="H9" s="34"/>
      <c r="I9" s="34"/>
      <c r="J9" s="34"/>
      <c r="K9" s="35"/>
      <c r="M9" s="69" t="s">
        <v>34</v>
      </c>
      <c r="N9" s="68">
        <f>((N7-N5-N3)*100)+300000</f>
        <v>23013600</v>
      </c>
    </row>
    <row r="10" spans="1:15" ht="15.75" thickBot="1" x14ac:dyDescent="0.3">
      <c r="A10" s="25"/>
      <c r="B10" s="132"/>
      <c r="C10" s="11" t="s">
        <v>2</v>
      </c>
      <c r="D10" s="12">
        <f>D9/4</f>
        <v>10218.5</v>
      </c>
      <c r="E10" s="34"/>
      <c r="F10" s="36" t="s">
        <v>5</v>
      </c>
      <c r="G10" s="71" t="s">
        <v>28</v>
      </c>
      <c r="H10" s="34"/>
      <c r="I10" s="34"/>
      <c r="J10" s="34"/>
      <c r="K10" s="35"/>
      <c r="M10" s="67" t="s">
        <v>41</v>
      </c>
      <c r="N10" s="68">
        <f>IF(G11&gt;N9,G11-N9,N9-G11)</f>
        <v>23013600</v>
      </c>
    </row>
    <row r="11" spans="1:15" ht="15.75" thickBot="1" x14ac:dyDescent="0.3">
      <c r="A11" s="25"/>
      <c r="B11" s="133"/>
      <c r="C11" s="6" t="s">
        <v>3</v>
      </c>
      <c r="D11" s="8">
        <f>D9/12</f>
        <v>3406.1666666666665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5" x14ac:dyDescent="0.25">
      <c r="A12" s="25"/>
      <c r="B12" s="134" t="s">
        <v>15</v>
      </c>
      <c r="C12" s="13" t="s">
        <v>1</v>
      </c>
      <c r="D12" s="14">
        <f>IF(C7=0,0,IF(C7+I5&gt;N7,N7,C7+I5))</f>
        <v>0</v>
      </c>
      <c r="E12" s="26"/>
      <c r="F12" s="162" t="s">
        <v>18</v>
      </c>
      <c r="G12" s="162"/>
      <c r="H12" s="163"/>
      <c r="I12" s="26"/>
      <c r="J12" s="26"/>
      <c r="K12" s="27"/>
    </row>
    <row r="13" spans="1:15"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5" ht="15.75" customHeight="1" thickBot="1" x14ac:dyDescent="0.3">
      <c r="A14" s="25"/>
      <c r="B14" s="136"/>
      <c r="C14" s="16" t="s">
        <v>3</v>
      </c>
      <c r="D14" s="17">
        <f>D12/12</f>
        <v>0</v>
      </c>
      <c r="E14" s="26"/>
      <c r="F14" s="139"/>
      <c r="G14" s="44" t="str">
        <f>G10</f>
        <v>не используется</v>
      </c>
      <c r="H14" s="46" t="s">
        <v>9</v>
      </c>
      <c r="I14" s="164"/>
      <c r="J14" s="165"/>
      <c r="K14" s="166"/>
    </row>
    <row r="15" spans="1:15" ht="15" customHeight="1" thickBot="1" x14ac:dyDescent="0.3">
      <c r="A15" s="25"/>
      <c r="B15" s="146" t="s">
        <v>13</v>
      </c>
      <c r="C15" s="18" t="str">
        <f>IF(D15="ошибка расчета","-------&gt;",C12)</f>
        <v>год</v>
      </c>
      <c r="D15" s="19">
        <f>IF(G11=0,IF((C5*8)+N5&lt;N7,"ошибка расчета",IF((C5*8)+N5&gt;N7,"ошибка расчета",C5*8)),0)</f>
        <v>259584</v>
      </c>
      <c r="E15" s="26"/>
      <c r="F15" s="139" t="s">
        <v>20</v>
      </c>
      <c r="G15" s="44" t="str">
        <f>G10</f>
        <v>не используется</v>
      </c>
      <c r="H15" s="46" t="s">
        <v>8</v>
      </c>
      <c r="I15" s="164"/>
      <c r="J15" s="165"/>
      <c r="K15" s="166"/>
    </row>
    <row r="16" spans="1:15" ht="15" customHeight="1" thickBot="1" x14ac:dyDescent="0.3">
      <c r="A16" s="25"/>
      <c r="B16" s="147"/>
      <c r="C16" s="18" t="str">
        <f>IF(D15="ошибка расчета","-------&gt;",C13)</f>
        <v>кв</v>
      </c>
      <c r="D16" s="21">
        <f>IF(D15="ошибка расчета","необходимо проверить",D15/4)</f>
        <v>64896</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мес</v>
      </c>
      <c r="D17" s="23">
        <f>IF(D15="ошибка расчета","ставки за год",D15/12)</f>
        <v>21632</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Страховая часть фикированного платежа ",N3," руб."," Размер ФФОМС ",N5," руб."," Максимальный размер фиксированногоплатежа ",N7," руб."," Максимальный размер будет достигрут при доходе ",N9," руб.",N11,N10," руб.",M11)</f>
        <v xml:space="preserve">СПРАВОЧНО!!! Ставки за год 2021 !!!!! Страховая часть фикированного платежа 32448 руб. Размер ФФОМС 8426 руб. Максимальный размер фиксированногоплатежа 268010 руб. Максимальный размер будет достигрут при доходе 23013600 руб. До предельного дохода осталось 23013600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K5:K8"/>
    <mergeCell ref="A7:A8"/>
    <mergeCell ref="B7:B8"/>
    <mergeCell ref="B1:K2"/>
    <mergeCell ref="M2:N2"/>
    <mergeCell ref="B3:B4"/>
    <mergeCell ref="C3:E3"/>
    <mergeCell ref="F3:H3"/>
    <mergeCell ref="I3:K3"/>
    <mergeCell ref="A5:A6"/>
    <mergeCell ref="B5:B6"/>
    <mergeCell ref="F5:H8"/>
    <mergeCell ref="I5:I8"/>
    <mergeCell ref="J5:J8"/>
    <mergeCell ref="B25:K42"/>
    <mergeCell ref="A18:K19"/>
    <mergeCell ref="B20:K22"/>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15.140625" style="64" hidden="1" customWidth="1"/>
    <col min="14" max="14" width="16.28515625" style="65" hidden="1" customWidth="1"/>
    <col min="15" max="15" width="0" style="64" hidden="1" customWidth="1"/>
    <col min="16" max="16384" width="9.140625" style="64"/>
  </cols>
  <sheetData>
    <row r="1" spans="1:15" ht="15" customHeight="1" x14ac:dyDescent="0.25">
      <c r="A1" s="24"/>
      <c r="B1" s="171" t="str">
        <f>CONCATENATE("Фиксированные платежи ИП в ПФР ",O2," год")</f>
        <v>Фиксированные платежи ИП в ПФР 2022 год</v>
      </c>
      <c r="C1" s="171"/>
      <c r="D1" s="171"/>
      <c r="E1" s="171"/>
      <c r="F1" s="171"/>
      <c r="G1" s="171"/>
      <c r="H1" s="171"/>
      <c r="I1" s="171"/>
      <c r="J1" s="171"/>
      <c r="K1" s="171"/>
      <c r="O1" s="64" t="s">
        <v>35</v>
      </c>
    </row>
    <row r="2" spans="1:15" ht="15.75" customHeight="1" thickBot="1" x14ac:dyDescent="0.3">
      <c r="A2" s="25"/>
      <c r="B2" s="172"/>
      <c r="C2" s="172"/>
      <c r="D2" s="172"/>
      <c r="E2" s="172"/>
      <c r="F2" s="172"/>
      <c r="G2" s="172"/>
      <c r="H2" s="172"/>
      <c r="I2" s="172"/>
      <c r="J2" s="172"/>
      <c r="K2" s="172"/>
      <c r="M2" s="170" t="s">
        <v>31</v>
      </c>
      <c r="N2" s="170"/>
      <c r="O2" s="66" t="s">
        <v>38</v>
      </c>
    </row>
    <row r="3" spans="1:15" x14ac:dyDescent="0.25">
      <c r="A3" s="25"/>
      <c r="B3" s="96"/>
      <c r="C3" s="93" t="s">
        <v>6</v>
      </c>
      <c r="D3" s="94"/>
      <c r="E3" s="95"/>
      <c r="F3" s="93" t="s">
        <v>7</v>
      </c>
      <c r="G3" s="94"/>
      <c r="H3" s="94"/>
      <c r="I3" s="93" t="s">
        <v>0</v>
      </c>
      <c r="J3" s="94"/>
      <c r="K3" s="95"/>
      <c r="M3" s="67" t="s">
        <v>29</v>
      </c>
      <c r="N3" s="68">
        <v>34445</v>
      </c>
    </row>
    <row r="4" spans="1:15" ht="15.75" thickBot="1" x14ac:dyDescent="0.3">
      <c r="A4" s="25"/>
      <c r="B4" s="97"/>
      <c r="C4" s="28" t="s">
        <v>1</v>
      </c>
      <c r="D4" s="29" t="s">
        <v>2</v>
      </c>
      <c r="E4" s="30" t="s">
        <v>3</v>
      </c>
      <c r="F4" s="51" t="s">
        <v>1</v>
      </c>
      <c r="G4" s="52" t="s">
        <v>2</v>
      </c>
      <c r="H4" s="53" t="s">
        <v>3</v>
      </c>
      <c r="I4" s="28" t="s">
        <v>1</v>
      </c>
      <c r="J4" s="29" t="s">
        <v>2</v>
      </c>
      <c r="K4" s="30" t="s">
        <v>3</v>
      </c>
      <c r="M4" s="62" t="s">
        <v>30</v>
      </c>
      <c r="N4" s="68">
        <v>0</v>
      </c>
    </row>
    <row r="5" spans="1:15" ht="15" customHeight="1" x14ac:dyDescent="0.25">
      <c r="A5" s="103"/>
      <c r="B5" s="110" t="s">
        <v>17</v>
      </c>
      <c r="C5" s="9">
        <f>IF(G11&lt;300000.01,N3,0)</f>
        <v>34445</v>
      </c>
      <c r="D5" s="56">
        <f>C5/4</f>
        <v>8611.25</v>
      </c>
      <c r="E5" s="57">
        <f>C5/12</f>
        <v>2870.4166666666665</v>
      </c>
      <c r="F5" s="111"/>
      <c r="G5" s="112"/>
      <c r="H5" s="113"/>
      <c r="I5" s="120">
        <f>N5</f>
        <v>8766</v>
      </c>
      <c r="J5" s="123">
        <f>I5/4</f>
        <v>2191.5</v>
      </c>
      <c r="K5" s="100">
        <f>I5/12</f>
        <v>730.5</v>
      </c>
      <c r="M5" s="67" t="s">
        <v>21</v>
      </c>
      <c r="N5" s="68">
        <v>8766</v>
      </c>
    </row>
    <row r="6" spans="1:15" ht="15.75" hidden="1" customHeight="1" thickBot="1" x14ac:dyDescent="0.3">
      <c r="A6" s="103"/>
      <c r="B6" s="104"/>
      <c r="C6" s="3" t="e">
        <f>IF(G11&lt;300001,G10*G14*12,"-")</f>
        <v>#VALUE!</v>
      </c>
      <c r="D6" s="7" t="e">
        <f>C6/4</f>
        <v>#VALUE!</v>
      </c>
      <c r="E6" s="50" t="e">
        <f>C6/12</f>
        <v>#VALUE!</v>
      </c>
      <c r="F6" s="114"/>
      <c r="G6" s="115"/>
      <c r="H6" s="116"/>
      <c r="I6" s="121"/>
      <c r="J6" s="124"/>
      <c r="K6" s="101"/>
    </row>
    <row r="7" spans="1:15" ht="15" customHeight="1" x14ac:dyDescent="0.25">
      <c r="A7" s="103"/>
      <c r="B7" s="104" t="s">
        <v>23</v>
      </c>
      <c r="C7" s="3">
        <f>IF(G11&gt;300000,N3+((G11-300000)/100*1),0)</f>
        <v>0</v>
      </c>
      <c r="D7" s="4">
        <f>C7/4</f>
        <v>0</v>
      </c>
      <c r="E7" s="49">
        <f>C7/12</f>
        <v>0</v>
      </c>
      <c r="F7" s="114"/>
      <c r="G7" s="115"/>
      <c r="H7" s="116"/>
      <c r="I7" s="121"/>
      <c r="J7" s="124"/>
      <c r="K7" s="101"/>
      <c r="M7" s="69" t="s">
        <v>32</v>
      </c>
      <c r="N7" s="68">
        <f>(N3*8)+N5</f>
        <v>284326</v>
      </c>
    </row>
    <row r="8" spans="1:15" ht="15.75" hidden="1" customHeight="1" thickBot="1" x14ac:dyDescent="0.3">
      <c r="A8" s="103"/>
      <c r="B8" s="105"/>
      <c r="C8" s="58" t="str">
        <f>IF(G11&gt;300000,G10*G14*12+((G11-300000)*1%),"-")</f>
        <v>-</v>
      </c>
      <c r="D8" s="7" t="e">
        <f>C8/4</f>
        <v>#VALUE!</v>
      </c>
      <c r="E8" s="50" t="e">
        <f>C8/12</f>
        <v>#VALUE!</v>
      </c>
      <c r="F8" s="117"/>
      <c r="G8" s="118"/>
      <c r="H8" s="119"/>
      <c r="I8" s="122"/>
      <c r="J8" s="125"/>
      <c r="K8" s="102"/>
    </row>
    <row r="9" spans="1:15" ht="15.75" thickBot="1" x14ac:dyDescent="0.3">
      <c r="A9" s="25"/>
      <c r="B9" s="132" t="s">
        <v>14</v>
      </c>
      <c r="C9" s="3" t="s">
        <v>1</v>
      </c>
      <c r="D9" s="5">
        <f>IF(G11&lt;300000,C5+I5,0)</f>
        <v>43211</v>
      </c>
      <c r="E9" s="33"/>
      <c r="F9" s="34"/>
      <c r="G9" s="34"/>
      <c r="H9" s="34"/>
      <c r="I9" s="34"/>
      <c r="J9" s="34"/>
      <c r="K9" s="35"/>
      <c r="M9" s="69" t="s">
        <v>34</v>
      </c>
      <c r="N9" s="68">
        <f>((N7-N5-N3)*100)+300000</f>
        <v>24411500</v>
      </c>
    </row>
    <row r="10" spans="1:15" ht="15.75" thickBot="1" x14ac:dyDescent="0.3">
      <c r="A10" s="25"/>
      <c r="B10" s="132"/>
      <c r="C10" s="11" t="s">
        <v>2</v>
      </c>
      <c r="D10" s="12">
        <f>D9/4</f>
        <v>10802.75</v>
      </c>
      <c r="E10" s="34"/>
      <c r="F10" s="36" t="s">
        <v>5</v>
      </c>
      <c r="G10" s="71" t="s">
        <v>28</v>
      </c>
      <c r="H10" s="34"/>
      <c r="I10" s="34"/>
      <c r="J10" s="34"/>
      <c r="K10" s="35"/>
      <c r="M10" s="67" t="s">
        <v>41</v>
      </c>
      <c r="N10" s="68">
        <f>IF(G11&gt;N9,G11-N9,N9-G11)</f>
        <v>24411500</v>
      </c>
    </row>
    <row r="11" spans="1:15" ht="15.75" thickBot="1" x14ac:dyDescent="0.3">
      <c r="A11" s="25"/>
      <c r="B11" s="133"/>
      <c r="C11" s="6" t="s">
        <v>3</v>
      </c>
      <c r="D11" s="8">
        <f>D9/12</f>
        <v>3600.9166666666665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5" x14ac:dyDescent="0.25">
      <c r="A12" s="25"/>
      <c r="B12" s="134" t="s">
        <v>15</v>
      </c>
      <c r="C12" s="13" t="s">
        <v>1</v>
      </c>
      <c r="D12" s="14">
        <f>IF(C7=0,0,IF(C7+I5&gt;N7,N7,C7+I5))</f>
        <v>0</v>
      </c>
      <c r="E12" s="26"/>
      <c r="F12" s="162" t="s">
        <v>18</v>
      </c>
      <c r="G12" s="162"/>
      <c r="H12" s="163"/>
      <c r="I12" s="26"/>
      <c r="J12" s="26"/>
      <c r="K12" s="27"/>
    </row>
    <row r="13" spans="1:15"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5" ht="15.75" customHeight="1" thickBot="1" x14ac:dyDescent="0.3">
      <c r="A14" s="25"/>
      <c r="B14" s="136"/>
      <c r="C14" s="16" t="s">
        <v>3</v>
      </c>
      <c r="D14" s="17">
        <f>D12/12</f>
        <v>0</v>
      </c>
      <c r="E14" s="26"/>
      <c r="F14" s="139"/>
      <c r="G14" s="44" t="str">
        <f>G10</f>
        <v>не используется</v>
      </c>
      <c r="H14" s="46" t="s">
        <v>9</v>
      </c>
      <c r="I14" s="164"/>
      <c r="J14" s="165"/>
      <c r="K14" s="166"/>
    </row>
    <row r="15" spans="1:15" ht="15" customHeight="1" thickBot="1" x14ac:dyDescent="0.3">
      <c r="A15" s="25"/>
      <c r="B15" s="146" t="s">
        <v>13</v>
      </c>
      <c r="C15" s="18" t="str">
        <f>IF(D15="ошибка расчета","-------&gt;",C12)</f>
        <v>год</v>
      </c>
      <c r="D15" s="19">
        <f>IF(G11=0,IF((C5*8)+N5&lt;N7,"ошибка расчета",IF((C5*8)+N5&gt;N7,"ошибка расчета",C5*8)),0)</f>
        <v>275560</v>
      </c>
      <c r="E15" s="26"/>
      <c r="F15" s="139" t="s">
        <v>20</v>
      </c>
      <c r="G15" s="44" t="str">
        <f>G10</f>
        <v>не используется</v>
      </c>
      <c r="H15" s="46" t="s">
        <v>8</v>
      </c>
      <c r="I15" s="164"/>
      <c r="J15" s="165"/>
      <c r="K15" s="166"/>
    </row>
    <row r="16" spans="1:15" ht="15" customHeight="1" thickBot="1" x14ac:dyDescent="0.3">
      <c r="A16" s="25"/>
      <c r="B16" s="147"/>
      <c r="C16" s="18" t="str">
        <f>IF(D15="ошибка расчета","-------&gt;",C13)</f>
        <v>кв</v>
      </c>
      <c r="D16" s="21">
        <f>IF(D15="ошибка расчета","необходимо проверить",D15/4)</f>
        <v>68890</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мес</v>
      </c>
      <c r="D17" s="23">
        <f>IF(D15="ошибка расчета","ставки за год",D15/12)</f>
        <v>22963.333333333332</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Страховая часть фикированного платежа ",N3," руб."," Размер ФФОМС ",N5," руб."," Максимальный размер фиксированногоплатежа ",N7," руб."," Максимальный размер будет достигрут при доходе ",N9," руб.",N11,N10," руб.",M11)</f>
        <v xml:space="preserve">СПРАВОЧНО!!! Ставки за год 2022 !!!!! Страховая часть фикированного платежа 34445 руб. Размер ФФОМС 8766 руб. Максимальный размер фиксированногоплатежа 284326 руб. Максимальный размер будет достигрут при доходе 24411500 руб. До предельного дохода осталось 24411500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K5:K8"/>
    <mergeCell ref="A7:A8"/>
    <mergeCell ref="B7:B8"/>
    <mergeCell ref="B1:K2"/>
    <mergeCell ref="M2:N2"/>
    <mergeCell ref="B3:B4"/>
    <mergeCell ref="C3:E3"/>
    <mergeCell ref="F3:H3"/>
    <mergeCell ref="I3:K3"/>
    <mergeCell ref="A5:A6"/>
    <mergeCell ref="B5:B6"/>
    <mergeCell ref="F5:H8"/>
    <mergeCell ref="I5:I8"/>
    <mergeCell ref="J5:J8"/>
    <mergeCell ref="B25:K42"/>
    <mergeCell ref="A18:K19"/>
    <mergeCell ref="B20:K22"/>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15.140625" style="64" hidden="1" customWidth="1"/>
    <col min="14" max="14" width="16.28515625" style="65" hidden="1" customWidth="1"/>
    <col min="15" max="15" width="10.140625" style="64" hidden="1" customWidth="1"/>
    <col min="16" max="16384" width="9.140625" style="64"/>
  </cols>
  <sheetData>
    <row r="1" spans="1:15" ht="15" customHeight="1" x14ac:dyDescent="0.25">
      <c r="A1" s="24"/>
      <c r="B1" s="171" t="str">
        <f>CONCATENATE("Фиксированные платежи ИП в ПФР ",O2," год")</f>
        <v>Фиксированные платежи ИП в ПФР 2023 год</v>
      </c>
      <c r="C1" s="171"/>
      <c r="D1" s="171"/>
      <c r="E1" s="171"/>
      <c r="F1" s="171"/>
      <c r="G1" s="171"/>
      <c r="H1" s="171"/>
      <c r="I1" s="171"/>
      <c r="J1" s="171"/>
      <c r="K1" s="171"/>
      <c r="O1" s="64" t="s">
        <v>35</v>
      </c>
    </row>
    <row r="2" spans="1:15" ht="15.75" customHeight="1" thickBot="1" x14ac:dyDescent="0.3">
      <c r="A2" s="25"/>
      <c r="B2" s="172"/>
      <c r="C2" s="172"/>
      <c r="D2" s="172"/>
      <c r="E2" s="172"/>
      <c r="F2" s="172"/>
      <c r="G2" s="172"/>
      <c r="H2" s="172"/>
      <c r="I2" s="172"/>
      <c r="J2" s="172"/>
      <c r="K2" s="172"/>
      <c r="M2" s="170" t="s">
        <v>31</v>
      </c>
      <c r="N2" s="170"/>
      <c r="O2" s="66" t="s">
        <v>39</v>
      </c>
    </row>
    <row r="3" spans="1:15" x14ac:dyDescent="0.25">
      <c r="A3" s="25"/>
      <c r="B3" s="96"/>
      <c r="C3" s="93" t="s">
        <v>6</v>
      </c>
      <c r="D3" s="94"/>
      <c r="E3" s="95"/>
      <c r="F3" s="93" t="s">
        <v>7</v>
      </c>
      <c r="G3" s="94"/>
      <c r="H3" s="94"/>
      <c r="I3" s="93" t="s">
        <v>0</v>
      </c>
      <c r="J3" s="94"/>
      <c r="K3" s="95"/>
      <c r="M3" s="67" t="s">
        <v>29</v>
      </c>
      <c r="N3" s="68">
        <v>36723</v>
      </c>
      <c r="O3" s="65">
        <f>N3+N5</f>
        <v>45842</v>
      </c>
    </row>
    <row r="4" spans="1:15" ht="15.75" thickBot="1" x14ac:dyDescent="0.3">
      <c r="A4" s="25"/>
      <c r="B4" s="97"/>
      <c r="C4" s="28" t="s">
        <v>1</v>
      </c>
      <c r="D4" s="29" t="s">
        <v>2</v>
      </c>
      <c r="E4" s="30" t="s">
        <v>3</v>
      </c>
      <c r="F4" s="51" t="s">
        <v>1</v>
      </c>
      <c r="G4" s="52" t="s">
        <v>2</v>
      </c>
      <c r="H4" s="53" t="s">
        <v>3</v>
      </c>
      <c r="I4" s="28" t="s">
        <v>1</v>
      </c>
      <c r="J4" s="29" t="s">
        <v>2</v>
      </c>
      <c r="K4" s="30" t="s">
        <v>3</v>
      </c>
      <c r="M4" s="62" t="s">
        <v>30</v>
      </c>
      <c r="N4" s="68">
        <v>0</v>
      </c>
    </row>
    <row r="5" spans="1:15" ht="15" customHeight="1" x14ac:dyDescent="0.25">
      <c r="A5" s="103"/>
      <c r="B5" s="110" t="s">
        <v>17</v>
      </c>
      <c r="C5" s="9">
        <f>IF(G11&lt;300000.01,N3,0)</f>
        <v>36723</v>
      </c>
      <c r="D5" s="56">
        <f>C5/4</f>
        <v>9180.75</v>
      </c>
      <c r="E5" s="57">
        <f>C5/12</f>
        <v>3060.25</v>
      </c>
      <c r="F5" s="111"/>
      <c r="G5" s="112"/>
      <c r="H5" s="113"/>
      <c r="I5" s="120">
        <f>N5</f>
        <v>9119</v>
      </c>
      <c r="J5" s="123">
        <f>I5/4</f>
        <v>2279.75</v>
      </c>
      <c r="K5" s="100">
        <f>I5/12</f>
        <v>759.91666666666663</v>
      </c>
      <c r="M5" s="67" t="s">
        <v>21</v>
      </c>
      <c r="N5" s="68">
        <v>9119</v>
      </c>
    </row>
    <row r="6" spans="1:15" ht="15.75" hidden="1" customHeight="1" thickBot="1" x14ac:dyDescent="0.3">
      <c r="A6" s="103"/>
      <c r="B6" s="104"/>
      <c r="C6" s="3" t="e">
        <f>IF(G11&lt;300001,G10*G14*12,"-")</f>
        <v>#VALUE!</v>
      </c>
      <c r="D6" s="7" t="e">
        <f>C6/4</f>
        <v>#VALUE!</v>
      </c>
      <c r="E6" s="50" t="e">
        <f>C6/12</f>
        <v>#VALUE!</v>
      </c>
      <c r="F6" s="114"/>
      <c r="G6" s="115"/>
      <c r="H6" s="116"/>
      <c r="I6" s="121"/>
      <c r="J6" s="124"/>
      <c r="K6" s="101"/>
    </row>
    <row r="7" spans="1:15" ht="15" customHeight="1" x14ac:dyDescent="0.25">
      <c r="A7" s="103"/>
      <c r="B7" s="104" t="s">
        <v>23</v>
      </c>
      <c r="C7" s="3">
        <f>IF(G11&gt;300000,N3+((G11-300000)/100*1),0)</f>
        <v>0</v>
      </c>
      <c r="D7" s="4">
        <f>C7/4</f>
        <v>0</v>
      </c>
      <c r="E7" s="49">
        <f>C7/12</f>
        <v>0</v>
      </c>
      <c r="F7" s="114"/>
      <c r="G7" s="115"/>
      <c r="H7" s="116"/>
      <c r="I7" s="121"/>
      <c r="J7" s="124"/>
      <c r="K7" s="101"/>
      <c r="M7" s="69" t="s">
        <v>32</v>
      </c>
      <c r="N7" s="68">
        <f>(N3*8)+N5</f>
        <v>302903</v>
      </c>
    </row>
    <row r="8" spans="1:15" ht="15.75" hidden="1" customHeight="1" thickBot="1" x14ac:dyDescent="0.3">
      <c r="A8" s="103"/>
      <c r="B8" s="105"/>
      <c r="C8" s="58" t="str">
        <f>IF(G11&gt;300000,G10*G14*12+((G11-300000)*1%),"-")</f>
        <v>-</v>
      </c>
      <c r="D8" s="7" t="e">
        <f>C8/4</f>
        <v>#VALUE!</v>
      </c>
      <c r="E8" s="50" t="e">
        <f>C8/12</f>
        <v>#VALUE!</v>
      </c>
      <c r="F8" s="117"/>
      <c r="G8" s="118"/>
      <c r="H8" s="119"/>
      <c r="I8" s="122"/>
      <c r="J8" s="125"/>
      <c r="K8" s="102"/>
    </row>
    <row r="9" spans="1:15" ht="15.75" thickBot="1" x14ac:dyDescent="0.3">
      <c r="A9" s="25"/>
      <c r="B9" s="132" t="s">
        <v>14</v>
      </c>
      <c r="C9" s="3" t="s">
        <v>1</v>
      </c>
      <c r="D9" s="5">
        <f>IF(G11&lt;300000,C5+I5,0)</f>
        <v>45842</v>
      </c>
      <c r="E9" s="33"/>
      <c r="F9" s="34"/>
      <c r="G9" s="34"/>
      <c r="H9" s="34"/>
      <c r="I9" s="34"/>
      <c r="J9" s="34"/>
      <c r="K9" s="35"/>
      <c r="M9" s="69" t="s">
        <v>34</v>
      </c>
      <c r="N9" s="68">
        <f>((N7-N5-N3)*100)+300000</f>
        <v>26006100</v>
      </c>
    </row>
    <row r="10" spans="1:15" ht="15.75" thickBot="1" x14ac:dyDescent="0.3">
      <c r="A10" s="25"/>
      <c r="B10" s="132"/>
      <c r="C10" s="11" t="s">
        <v>2</v>
      </c>
      <c r="D10" s="12">
        <f>D9/4</f>
        <v>11460.5</v>
      </c>
      <c r="E10" s="34"/>
      <c r="F10" s="36" t="s">
        <v>5</v>
      </c>
      <c r="G10" s="71" t="s">
        <v>28</v>
      </c>
      <c r="H10" s="34"/>
      <c r="I10" s="34"/>
      <c r="J10" s="34"/>
      <c r="K10" s="35"/>
      <c r="M10" s="67" t="s">
        <v>41</v>
      </c>
      <c r="N10" s="68">
        <f>IF(G11&gt;N9,G11-N9,N9-G11)</f>
        <v>26006100</v>
      </c>
    </row>
    <row r="11" spans="1:15" ht="15.75" thickBot="1" x14ac:dyDescent="0.3">
      <c r="A11" s="25"/>
      <c r="B11" s="133"/>
      <c r="C11" s="6" t="s">
        <v>3</v>
      </c>
      <c r="D11" s="8">
        <f>D9/12</f>
        <v>3820.1666666666665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5" x14ac:dyDescent="0.25">
      <c r="A12" s="25"/>
      <c r="B12" s="134" t="s">
        <v>15</v>
      </c>
      <c r="C12" s="13" t="s">
        <v>1</v>
      </c>
      <c r="D12" s="14">
        <f>IF(C7=0,0,IF(C7+I5&gt;N7,N7,C7+I5))</f>
        <v>0</v>
      </c>
      <c r="E12" s="26"/>
      <c r="F12" s="162" t="s">
        <v>18</v>
      </c>
      <c r="G12" s="162"/>
      <c r="H12" s="163"/>
      <c r="I12" s="26"/>
      <c r="J12" s="26"/>
      <c r="K12" s="27"/>
    </row>
    <row r="13" spans="1:15"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5" ht="15.75" customHeight="1" thickBot="1" x14ac:dyDescent="0.3">
      <c r="A14" s="25"/>
      <c r="B14" s="136"/>
      <c r="C14" s="16" t="s">
        <v>3</v>
      </c>
      <c r="D14" s="17">
        <f>D12/12</f>
        <v>0</v>
      </c>
      <c r="E14" s="26"/>
      <c r="F14" s="139"/>
      <c r="G14" s="44" t="str">
        <f>G10</f>
        <v>не используется</v>
      </c>
      <c r="H14" s="46" t="s">
        <v>9</v>
      </c>
      <c r="I14" s="164"/>
      <c r="J14" s="165"/>
      <c r="K14" s="166"/>
    </row>
    <row r="15" spans="1:15" ht="15" customHeight="1" thickBot="1" x14ac:dyDescent="0.3">
      <c r="A15" s="25"/>
      <c r="B15" s="146" t="s">
        <v>13</v>
      </c>
      <c r="C15" s="18" t="str">
        <f>IF(D15="ошибка расчета","-------&gt;",C12)</f>
        <v>год</v>
      </c>
      <c r="D15" s="19">
        <f>IF(G11=0,IF((C5*8)+N5&lt;N7,"ошибка расчета",IF((C5*8)+N5&gt;N7,"ошибка расчета",C5*8)),0)</f>
        <v>293784</v>
      </c>
      <c r="E15" s="26"/>
      <c r="F15" s="139" t="s">
        <v>20</v>
      </c>
      <c r="G15" s="44" t="str">
        <f>G10</f>
        <v>не используется</v>
      </c>
      <c r="H15" s="46" t="s">
        <v>8</v>
      </c>
      <c r="I15" s="164"/>
      <c r="J15" s="165"/>
      <c r="K15" s="166"/>
    </row>
    <row r="16" spans="1:15" ht="15" customHeight="1" thickBot="1" x14ac:dyDescent="0.3">
      <c r="A16" s="25"/>
      <c r="B16" s="147"/>
      <c r="C16" s="18" t="str">
        <f>IF(D15="ошибка расчета","-------&gt;",C13)</f>
        <v>кв</v>
      </c>
      <c r="D16" s="21">
        <f>IF(D15="ошибка расчета","необходимо проверить",D15/4)</f>
        <v>73446</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мес</v>
      </c>
      <c r="D17" s="23">
        <f>IF(D15="ошибка расчета","ставки за год",D15/12)</f>
        <v>24482</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Страховая часть фикированного платежа ",N3," руб."," Размер ФФОМС ",N5," руб."," Максимальный размер фиксированногоплатежа ",N7," руб."," Максимальный размер будет достигрут при доходе ",N9," руб.",N11,N10," руб.",M11)</f>
        <v xml:space="preserve">СПРАВОЧНО!!! Ставки за год 2023 !!!!! Страховая часть фикированного платежа 36723 руб. Размер ФФОМС 9119 руб. Максимальный размер фиксированногоплатежа 302903 руб. Максимальный размер будет достигрут при доходе 26006100 руб. До предельного дохода осталось 26006100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K5:K8"/>
    <mergeCell ref="A7:A8"/>
    <mergeCell ref="B7:B8"/>
    <mergeCell ref="B1:K2"/>
    <mergeCell ref="M2:N2"/>
    <mergeCell ref="B3:B4"/>
    <mergeCell ref="C3:E3"/>
    <mergeCell ref="F3:H3"/>
    <mergeCell ref="I3:K3"/>
    <mergeCell ref="A5:A6"/>
    <mergeCell ref="B5:B6"/>
    <mergeCell ref="F5:H8"/>
    <mergeCell ref="I5:I8"/>
    <mergeCell ref="J5:J8"/>
    <mergeCell ref="B25:K42"/>
    <mergeCell ref="A18:K19"/>
    <mergeCell ref="B20:K22"/>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abSelected="1"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20.5703125" style="64" hidden="1" customWidth="1"/>
    <col min="14" max="14" width="16.28515625" style="65" hidden="1" customWidth="1"/>
    <col min="15" max="16" width="0" style="64" hidden="1" customWidth="1"/>
    <col min="17" max="16384" width="9.140625" style="64"/>
  </cols>
  <sheetData>
    <row r="1" spans="1:16" ht="15" customHeight="1" x14ac:dyDescent="0.25">
      <c r="A1" s="24"/>
      <c r="B1" s="171" t="str">
        <f>CONCATENATE("Фиксированные платежи ИП в ПФР ",O2," год")</f>
        <v>Фиксированные платежи ИП в ПФР 2024 год</v>
      </c>
      <c r="C1" s="171"/>
      <c r="D1" s="171"/>
      <c r="E1" s="171"/>
      <c r="F1" s="171"/>
      <c r="G1" s="171"/>
      <c r="H1" s="171"/>
      <c r="I1" s="171"/>
      <c r="J1" s="171"/>
      <c r="K1" s="171"/>
      <c r="O1" s="64" t="s">
        <v>35</v>
      </c>
    </row>
    <row r="2" spans="1:16" ht="15.75" customHeight="1" thickBot="1" x14ac:dyDescent="0.3">
      <c r="A2" s="25"/>
      <c r="B2" s="172"/>
      <c r="C2" s="172"/>
      <c r="D2" s="172"/>
      <c r="E2" s="172"/>
      <c r="F2" s="175"/>
      <c r="G2" s="175"/>
      <c r="H2" s="175"/>
      <c r="I2" s="175"/>
      <c r="J2" s="175"/>
      <c r="K2" s="175"/>
      <c r="M2" s="170" t="s">
        <v>31</v>
      </c>
      <c r="N2" s="170"/>
      <c r="O2" s="66" t="s">
        <v>40</v>
      </c>
    </row>
    <row r="3" spans="1:16" x14ac:dyDescent="0.25">
      <c r="A3" s="25"/>
      <c r="B3" s="96"/>
      <c r="C3" s="93" t="s">
        <v>44</v>
      </c>
      <c r="D3" s="94"/>
      <c r="E3" s="95"/>
      <c r="F3" s="176" t="s">
        <v>7</v>
      </c>
      <c r="G3" s="176"/>
      <c r="H3" s="176"/>
      <c r="I3" s="176" t="s">
        <v>0</v>
      </c>
      <c r="J3" s="176"/>
      <c r="K3" s="176"/>
      <c r="M3" s="67" t="s">
        <v>43</v>
      </c>
      <c r="N3" s="68">
        <v>49500</v>
      </c>
      <c r="P3" s="70">
        <f>N3+N5</f>
        <v>49500</v>
      </c>
    </row>
    <row r="4" spans="1:16" ht="15.75" thickBot="1" x14ac:dyDescent="0.3">
      <c r="A4" s="25"/>
      <c r="B4" s="97"/>
      <c r="C4" s="28" t="s">
        <v>1</v>
      </c>
      <c r="D4" s="29" t="s">
        <v>2</v>
      </c>
      <c r="E4" s="30" t="s">
        <v>3</v>
      </c>
      <c r="F4" s="79" t="s">
        <v>1</v>
      </c>
      <c r="G4" s="79" t="s">
        <v>2</v>
      </c>
      <c r="H4" s="79" t="s">
        <v>3</v>
      </c>
      <c r="I4" s="79" t="s">
        <v>1</v>
      </c>
      <c r="J4" s="79" t="s">
        <v>2</v>
      </c>
      <c r="K4" s="79" t="s">
        <v>3</v>
      </c>
      <c r="M4" s="62" t="s">
        <v>30</v>
      </c>
      <c r="N4" s="68">
        <v>0</v>
      </c>
    </row>
    <row r="5" spans="1:16" ht="15" customHeight="1" x14ac:dyDescent="0.25">
      <c r="A5" s="103"/>
      <c r="B5" s="110" t="s">
        <v>17</v>
      </c>
      <c r="C5" s="9">
        <f>IF(G11&lt;300000.01,N3,0)</f>
        <v>49500</v>
      </c>
      <c r="D5" s="56">
        <f>C5/4</f>
        <v>12375</v>
      </c>
      <c r="E5" s="10">
        <f>C5/12</f>
        <v>4125</v>
      </c>
      <c r="F5" s="174"/>
      <c r="G5" s="174"/>
      <c r="H5" s="174"/>
      <c r="I5" s="174">
        <f>N5</f>
        <v>0</v>
      </c>
      <c r="J5" s="174">
        <f>I5/4</f>
        <v>0</v>
      </c>
      <c r="K5" s="174">
        <f>I5/12</f>
        <v>0</v>
      </c>
      <c r="M5" s="67" t="s">
        <v>21</v>
      </c>
      <c r="N5" s="68">
        <v>0</v>
      </c>
    </row>
    <row r="6" spans="1:16" ht="15.75" hidden="1" customHeight="1" thickBot="1" x14ac:dyDescent="0.3">
      <c r="A6" s="103"/>
      <c r="B6" s="104"/>
      <c r="C6" s="3" t="e">
        <f>IF(G11&lt;300001,G10*G14*12,"-")</f>
        <v>#VALUE!</v>
      </c>
      <c r="D6" s="7" t="e">
        <f>C6/4</f>
        <v>#VALUE!</v>
      </c>
      <c r="E6" s="8" t="e">
        <f>C6/12</f>
        <v>#VALUE!</v>
      </c>
      <c r="F6" s="174"/>
      <c r="G6" s="174"/>
      <c r="H6" s="174"/>
      <c r="I6" s="174"/>
      <c r="J6" s="174"/>
      <c r="K6" s="174"/>
      <c r="M6" s="67"/>
      <c r="N6" s="68"/>
    </row>
    <row r="7" spans="1:16" ht="15" customHeight="1" x14ac:dyDescent="0.25">
      <c r="A7" s="103"/>
      <c r="B7" s="104" t="s">
        <v>23</v>
      </c>
      <c r="C7" s="3">
        <f>IF(G11&gt;300000,N3+((G11-300000)/100*1),0)</f>
        <v>0</v>
      </c>
      <c r="D7" s="4">
        <f>C7/4</f>
        <v>0</v>
      </c>
      <c r="E7" s="5">
        <f>C7/12</f>
        <v>0</v>
      </c>
      <c r="F7" s="174"/>
      <c r="G7" s="174"/>
      <c r="H7" s="174"/>
      <c r="I7" s="174"/>
      <c r="J7" s="174"/>
      <c r="K7" s="174"/>
      <c r="M7" s="69" t="s">
        <v>32</v>
      </c>
      <c r="N7" s="68">
        <v>277571</v>
      </c>
    </row>
    <row r="8" spans="1:16" ht="15.75" hidden="1" customHeight="1" thickBot="1" x14ac:dyDescent="0.3">
      <c r="A8" s="103"/>
      <c r="B8" s="105"/>
      <c r="C8" s="58" t="str">
        <f>IF(G11&gt;300000,G10*G14*12+((G11-300000)*1%),"-")</f>
        <v>-</v>
      </c>
      <c r="D8" s="7" t="e">
        <f>C8/4</f>
        <v>#VALUE!</v>
      </c>
      <c r="E8" s="50" t="e">
        <f>C8/12</f>
        <v>#VALUE!</v>
      </c>
      <c r="F8" s="174"/>
      <c r="G8" s="174"/>
      <c r="H8" s="174"/>
      <c r="I8" s="174"/>
      <c r="J8" s="174"/>
      <c r="K8" s="174"/>
      <c r="M8" s="67"/>
      <c r="N8" s="68"/>
    </row>
    <row r="9" spans="1:16" ht="15.75" thickBot="1" x14ac:dyDescent="0.3">
      <c r="A9" s="25"/>
      <c r="B9" s="132" t="s">
        <v>14</v>
      </c>
      <c r="C9" s="3" t="s">
        <v>1</v>
      </c>
      <c r="D9" s="5">
        <f>IF(G11&lt;300000,C5+I5,0)</f>
        <v>49500</v>
      </c>
      <c r="E9" s="33"/>
      <c r="F9" s="34"/>
      <c r="G9" s="34"/>
      <c r="H9" s="34"/>
      <c r="I9" s="34"/>
      <c r="J9" s="34"/>
      <c r="K9" s="35"/>
      <c r="M9" s="69" t="s">
        <v>34</v>
      </c>
      <c r="N9" s="68">
        <f>((N7-N5-N3)*100)+300000</f>
        <v>23107100</v>
      </c>
    </row>
    <row r="10" spans="1:16" ht="15.75" thickBot="1" x14ac:dyDescent="0.3">
      <c r="A10" s="25"/>
      <c r="B10" s="132"/>
      <c r="C10" s="11" t="s">
        <v>2</v>
      </c>
      <c r="D10" s="12">
        <f>D9/4</f>
        <v>12375</v>
      </c>
      <c r="E10" s="34"/>
      <c r="F10" s="36" t="s">
        <v>5</v>
      </c>
      <c r="G10" s="71" t="s">
        <v>28</v>
      </c>
      <c r="H10" s="34"/>
      <c r="I10" s="34"/>
      <c r="J10" s="34"/>
      <c r="K10" s="35"/>
      <c r="M10" s="67" t="s">
        <v>41</v>
      </c>
      <c r="N10" s="68">
        <f>IF(G11&gt;N9,G11-N9,N9-G11)</f>
        <v>23107100</v>
      </c>
    </row>
    <row r="11" spans="1:16" ht="15.75" thickBot="1" x14ac:dyDescent="0.3">
      <c r="A11" s="25"/>
      <c r="B11" s="133"/>
      <c r="C11" s="6" t="s">
        <v>3</v>
      </c>
      <c r="D11" s="8">
        <f>D9/12</f>
        <v>4125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6" x14ac:dyDescent="0.25">
      <c r="A12" s="25"/>
      <c r="B12" s="134" t="s">
        <v>15</v>
      </c>
      <c r="C12" s="13" t="s">
        <v>1</v>
      </c>
      <c r="D12" s="14">
        <f>IF(C7=0,0,IF(C7+I5&gt;N7,N7,C7+I5))</f>
        <v>0</v>
      </c>
      <c r="E12" s="26"/>
      <c r="F12" s="162" t="s">
        <v>18</v>
      </c>
      <c r="G12" s="162"/>
      <c r="H12" s="163"/>
      <c r="I12" s="26"/>
      <c r="J12" s="26"/>
      <c r="K12" s="27"/>
    </row>
    <row r="13" spans="1:16"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6" ht="15.75" customHeight="1" thickBot="1" x14ac:dyDescent="0.3">
      <c r="A14" s="25"/>
      <c r="B14" s="136"/>
      <c r="C14" s="16" t="s">
        <v>3</v>
      </c>
      <c r="D14" s="17">
        <f>D12/12</f>
        <v>0</v>
      </c>
      <c r="E14" s="26"/>
      <c r="F14" s="139"/>
      <c r="G14" s="44" t="str">
        <f>G10</f>
        <v>не используется</v>
      </c>
      <c r="H14" s="46" t="s">
        <v>9</v>
      </c>
      <c r="I14" s="164"/>
      <c r="J14" s="165"/>
      <c r="K14" s="166"/>
    </row>
    <row r="15" spans="1:16" ht="15" customHeight="1" thickBot="1" x14ac:dyDescent="0.3">
      <c r="A15" s="25"/>
      <c r="B15" s="146" t="s">
        <v>13</v>
      </c>
      <c r="C15" s="18" t="str">
        <f>IF(D15="ошибка расчета","-------&gt;",C12)</f>
        <v>-------&gt;</v>
      </c>
      <c r="D15" s="19" t="str">
        <f>IF(G11=0,IF((C5*8)+N5&lt;N7,"ошибка расчета",IF((C5*8)+N5&gt;N7,"ошибка расчета",C5*8)),0)</f>
        <v>ошибка расчета</v>
      </c>
      <c r="E15" s="26"/>
      <c r="F15" s="139" t="s">
        <v>20</v>
      </c>
      <c r="G15" s="44" t="str">
        <f>G10</f>
        <v>не используется</v>
      </c>
      <c r="H15" s="46" t="s">
        <v>8</v>
      </c>
      <c r="I15" s="164"/>
      <c r="J15" s="165"/>
      <c r="K15" s="166"/>
    </row>
    <row r="16" spans="1:16" ht="15" customHeight="1" thickBot="1" x14ac:dyDescent="0.3">
      <c r="A16" s="25"/>
      <c r="B16" s="147"/>
      <c r="C16" s="18" t="str">
        <f>IF(D15="ошибка расчета","-------&gt;",C13)</f>
        <v>-------&gt;</v>
      </c>
      <c r="D16" s="21" t="str">
        <f>IF(D15="ошибка расчета","необходимо проверить",D15/4)</f>
        <v>необходимо проверить</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-------&gt;</v>
      </c>
      <c r="D17" s="23" t="str">
        <f>IF(D15="ошибка расчета","ставки за год",D15/12)</f>
        <v>ставки за год</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Единая часть фикированного платежа ",N3," руб."," Максимальный размер фиксированного платежа ",N7," руб."," Максимальный размер будет достигрут при доходе ",N9," руб.",N11,N10," руб.",M11)</f>
        <v xml:space="preserve">СПРАВОЧНО!!! Ставки за год 2024 !!!!! Единая часть фикированного платежа 49500 руб. Максимальный размер фиксированного платежа 277571 руб. Максимальный размер будет достигрут при доходе 23107100 руб. До предельного дохода осталось 23107100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K5:K8"/>
    <mergeCell ref="A7:A8"/>
    <mergeCell ref="B7:B8"/>
    <mergeCell ref="B1:K2"/>
    <mergeCell ref="M2:N2"/>
    <mergeCell ref="B3:B4"/>
    <mergeCell ref="C3:E3"/>
    <mergeCell ref="F3:H3"/>
    <mergeCell ref="I3:K3"/>
    <mergeCell ref="A5:A6"/>
    <mergeCell ref="B5:B6"/>
    <mergeCell ref="F5:H8"/>
    <mergeCell ref="I5:I8"/>
    <mergeCell ref="J5:J8"/>
    <mergeCell ref="B25:K42"/>
    <mergeCell ref="A18:K19"/>
    <mergeCell ref="B20:K22"/>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20.5703125" style="64" hidden="1" customWidth="1"/>
    <col min="14" max="14" width="16.28515625" style="65" hidden="1" customWidth="1"/>
    <col min="15" max="16" width="0" style="64" hidden="1" customWidth="1"/>
    <col min="17" max="16384" width="9.140625" style="64"/>
  </cols>
  <sheetData>
    <row r="1" spans="1:16" ht="15" customHeight="1" x14ac:dyDescent="0.25">
      <c r="A1" s="24"/>
      <c r="B1" s="171" t="str">
        <f>CONCATENATE("Фиксированные платежи ИП в ПФР ",O2," год")</f>
        <v>Фиксированные платежи ИП в ПФР 2025 год</v>
      </c>
      <c r="C1" s="171"/>
      <c r="D1" s="171"/>
      <c r="E1" s="171"/>
      <c r="F1" s="171"/>
      <c r="G1" s="171"/>
      <c r="H1" s="171"/>
      <c r="I1" s="171"/>
      <c r="J1" s="171"/>
      <c r="K1" s="171"/>
      <c r="O1" s="64" t="s">
        <v>35</v>
      </c>
    </row>
    <row r="2" spans="1:16" ht="15.75" customHeight="1" thickBot="1" x14ac:dyDescent="0.3">
      <c r="A2" s="25"/>
      <c r="B2" s="172"/>
      <c r="C2" s="172"/>
      <c r="D2" s="172"/>
      <c r="E2" s="172"/>
      <c r="F2" s="175"/>
      <c r="G2" s="175"/>
      <c r="H2" s="175"/>
      <c r="I2" s="175"/>
      <c r="J2" s="175"/>
      <c r="K2" s="175"/>
      <c r="M2" s="170" t="s">
        <v>31</v>
      </c>
      <c r="N2" s="170"/>
      <c r="O2" s="66" t="s">
        <v>45</v>
      </c>
    </row>
    <row r="3" spans="1:16" x14ac:dyDescent="0.25">
      <c r="A3" s="25"/>
      <c r="B3" s="96"/>
      <c r="C3" s="93" t="s">
        <v>44</v>
      </c>
      <c r="D3" s="94"/>
      <c r="E3" s="95"/>
      <c r="F3" s="176" t="s">
        <v>7</v>
      </c>
      <c r="G3" s="176"/>
      <c r="H3" s="176"/>
      <c r="I3" s="176" t="s">
        <v>0</v>
      </c>
      <c r="J3" s="176"/>
      <c r="K3" s="176"/>
      <c r="M3" s="67" t="s">
        <v>43</v>
      </c>
      <c r="N3" s="68">
        <v>53658</v>
      </c>
      <c r="P3" s="70">
        <f>N3+N5</f>
        <v>53658</v>
      </c>
    </row>
    <row r="4" spans="1:16" ht="15.75" thickBot="1" x14ac:dyDescent="0.3">
      <c r="A4" s="25"/>
      <c r="B4" s="97"/>
      <c r="C4" s="28" t="s">
        <v>1</v>
      </c>
      <c r="D4" s="29" t="s">
        <v>2</v>
      </c>
      <c r="E4" s="30" t="s">
        <v>3</v>
      </c>
      <c r="F4" s="79" t="s">
        <v>1</v>
      </c>
      <c r="G4" s="79" t="s">
        <v>2</v>
      </c>
      <c r="H4" s="79" t="s">
        <v>3</v>
      </c>
      <c r="I4" s="79" t="s">
        <v>1</v>
      </c>
      <c r="J4" s="79" t="s">
        <v>2</v>
      </c>
      <c r="K4" s="79" t="s">
        <v>3</v>
      </c>
      <c r="M4" s="62" t="s">
        <v>30</v>
      </c>
      <c r="N4" s="68">
        <v>0</v>
      </c>
    </row>
    <row r="5" spans="1:16" ht="15" customHeight="1" x14ac:dyDescent="0.25">
      <c r="A5" s="103"/>
      <c r="B5" s="110" t="s">
        <v>17</v>
      </c>
      <c r="C5" s="9">
        <f>IF(G11&lt;300000.01,N3,0)</f>
        <v>53658</v>
      </c>
      <c r="D5" s="56">
        <f>C5/4</f>
        <v>13414.5</v>
      </c>
      <c r="E5" s="10">
        <f>C5/12</f>
        <v>4471.5</v>
      </c>
      <c r="F5" s="174"/>
      <c r="G5" s="174"/>
      <c r="H5" s="174"/>
      <c r="I5" s="174">
        <f>N5</f>
        <v>0</v>
      </c>
      <c r="J5" s="174">
        <f>I5/4</f>
        <v>0</v>
      </c>
      <c r="K5" s="174">
        <f>I5/12</f>
        <v>0</v>
      </c>
      <c r="M5" s="67" t="s">
        <v>21</v>
      </c>
      <c r="N5" s="68">
        <v>0</v>
      </c>
    </row>
    <row r="6" spans="1:16" ht="15.75" hidden="1" customHeight="1" thickBot="1" x14ac:dyDescent="0.3">
      <c r="A6" s="103"/>
      <c r="B6" s="104"/>
      <c r="C6" s="3" t="e">
        <f>IF(G11&lt;300001,G10*G14*12,"-")</f>
        <v>#VALUE!</v>
      </c>
      <c r="D6" s="7" t="e">
        <f>C6/4</f>
        <v>#VALUE!</v>
      </c>
      <c r="E6" s="8" t="e">
        <f>C6/12</f>
        <v>#VALUE!</v>
      </c>
      <c r="F6" s="174"/>
      <c r="G6" s="174"/>
      <c r="H6" s="174"/>
      <c r="I6" s="174"/>
      <c r="J6" s="174"/>
      <c r="K6" s="174"/>
      <c r="M6" s="67"/>
      <c r="N6" s="68"/>
    </row>
    <row r="7" spans="1:16" ht="15" customHeight="1" x14ac:dyDescent="0.25">
      <c r="A7" s="103"/>
      <c r="B7" s="104" t="s">
        <v>23</v>
      </c>
      <c r="C7" s="3">
        <f>IF(G11&gt;300000,N3+((G11-300000)/100*1),0)</f>
        <v>0</v>
      </c>
      <c r="D7" s="4">
        <f>C7/4</f>
        <v>0</v>
      </c>
      <c r="E7" s="5">
        <f>C7/12</f>
        <v>0</v>
      </c>
      <c r="F7" s="174"/>
      <c r="G7" s="174"/>
      <c r="H7" s="174"/>
      <c r="I7" s="174"/>
      <c r="J7" s="174"/>
      <c r="K7" s="174"/>
      <c r="M7" s="69" t="s">
        <v>32</v>
      </c>
      <c r="N7" s="68">
        <v>300888</v>
      </c>
    </row>
    <row r="8" spans="1:16" ht="15.75" hidden="1" customHeight="1" thickBot="1" x14ac:dyDescent="0.3">
      <c r="A8" s="103"/>
      <c r="B8" s="105"/>
      <c r="C8" s="58" t="str">
        <f>IF(G11&gt;300000,G10*G14*12+((G11-300000)*1%),"-")</f>
        <v>-</v>
      </c>
      <c r="D8" s="7" t="e">
        <f>C8/4</f>
        <v>#VALUE!</v>
      </c>
      <c r="E8" s="50" t="e">
        <f>C8/12</f>
        <v>#VALUE!</v>
      </c>
      <c r="F8" s="174"/>
      <c r="G8" s="174"/>
      <c r="H8" s="174"/>
      <c r="I8" s="174"/>
      <c r="J8" s="174"/>
      <c r="K8" s="174"/>
      <c r="M8" s="67"/>
      <c r="N8" s="68"/>
    </row>
    <row r="9" spans="1:16" ht="15.75" thickBot="1" x14ac:dyDescent="0.3">
      <c r="A9" s="25"/>
      <c r="B9" s="132" t="s">
        <v>14</v>
      </c>
      <c r="C9" s="3" t="s">
        <v>1</v>
      </c>
      <c r="D9" s="5">
        <f>IF(G11&lt;300000,C5+I5,0)</f>
        <v>53658</v>
      </c>
      <c r="E9" s="33"/>
      <c r="F9" s="34"/>
      <c r="G9" s="34"/>
      <c r="H9" s="34"/>
      <c r="I9" s="34"/>
      <c r="J9" s="34"/>
      <c r="K9" s="35"/>
      <c r="M9" s="69" t="s">
        <v>34</v>
      </c>
      <c r="N9" s="68">
        <f>((N7-N5-N3)*100)+300000</f>
        <v>25023000</v>
      </c>
    </row>
    <row r="10" spans="1:16" ht="15.75" thickBot="1" x14ac:dyDescent="0.3">
      <c r="A10" s="25"/>
      <c r="B10" s="132"/>
      <c r="C10" s="11" t="s">
        <v>2</v>
      </c>
      <c r="D10" s="12">
        <f>D9/4</f>
        <v>13414.5</v>
      </c>
      <c r="E10" s="34"/>
      <c r="F10" s="36" t="s">
        <v>5</v>
      </c>
      <c r="G10" s="71" t="s">
        <v>28</v>
      </c>
      <c r="H10" s="34"/>
      <c r="I10" s="34"/>
      <c r="J10" s="34"/>
      <c r="K10" s="35"/>
      <c r="M10" s="67" t="s">
        <v>41</v>
      </c>
      <c r="N10" s="68">
        <f>IF(G11&gt;N9,G11-N9,N9-G11)</f>
        <v>25023000</v>
      </c>
    </row>
    <row r="11" spans="1:16" ht="15.75" thickBot="1" x14ac:dyDescent="0.3">
      <c r="A11" s="25"/>
      <c r="B11" s="133"/>
      <c r="C11" s="6" t="s">
        <v>3</v>
      </c>
      <c r="D11" s="8">
        <f>D9/12</f>
        <v>4471.5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6" x14ac:dyDescent="0.25">
      <c r="A12" s="25"/>
      <c r="B12" s="134" t="s">
        <v>15</v>
      </c>
      <c r="C12" s="13" t="s">
        <v>1</v>
      </c>
      <c r="D12" s="14">
        <f>IF(C7=0,0,IF(C7+I5&gt;N7,N7,C7+I5))</f>
        <v>0</v>
      </c>
      <c r="E12" s="26"/>
      <c r="F12" s="162" t="s">
        <v>18</v>
      </c>
      <c r="G12" s="162"/>
      <c r="H12" s="163"/>
      <c r="I12" s="26"/>
      <c r="J12" s="26"/>
      <c r="K12" s="27"/>
    </row>
    <row r="13" spans="1:16"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6" ht="15.75" customHeight="1" thickBot="1" x14ac:dyDescent="0.3">
      <c r="A14" s="25"/>
      <c r="B14" s="136"/>
      <c r="C14" s="16" t="s">
        <v>3</v>
      </c>
      <c r="D14" s="17">
        <f>D12/12</f>
        <v>0</v>
      </c>
      <c r="E14" s="26"/>
      <c r="F14" s="139"/>
      <c r="G14" s="44" t="str">
        <f>G10</f>
        <v>не используется</v>
      </c>
      <c r="H14" s="46" t="s">
        <v>9</v>
      </c>
      <c r="I14" s="164"/>
      <c r="J14" s="165"/>
      <c r="K14" s="166"/>
    </row>
    <row r="15" spans="1:16" ht="15" customHeight="1" thickBot="1" x14ac:dyDescent="0.3">
      <c r="A15" s="25"/>
      <c r="B15" s="146" t="s">
        <v>13</v>
      </c>
      <c r="C15" s="18" t="str">
        <f>IF(D15="ошибка расчета","-------&gt;",C12)</f>
        <v>-------&gt;</v>
      </c>
      <c r="D15" s="19" t="str">
        <f>IF(G11=0,IF((C5*8)+N5&lt;N7,"ошибка расчета",IF((C5*8)+N5&gt;N7,"ошибка расчета",C5*8)),0)</f>
        <v>ошибка расчета</v>
      </c>
      <c r="E15" s="26"/>
      <c r="F15" s="139" t="s">
        <v>20</v>
      </c>
      <c r="G15" s="44" t="str">
        <f>G10</f>
        <v>не используется</v>
      </c>
      <c r="H15" s="46" t="s">
        <v>8</v>
      </c>
      <c r="I15" s="164"/>
      <c r="J15" s="165"/>
      <c r="K15" s="166"/>
    </row>
    <row r="16" spans="1:16" ht="15" customHeight="1" thickBot="1" x14ac:dyDescent="0.3">
      <c r="A16" s="25"/>
      <c r="B16" s="147"/>
      <c r="C16" s="18" t="str">
        <f>IF(D15="ошибка расчета","-------&gt;",C13)</f>
        <v>-------&gt;</v>
      </c>
      <c r="D16" s="21" t="str">
        <f>IF(D15="ошибка расчета","необходимо проверить",D15/4)</f>
        <v>необходимо проверить</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-------&gt;</v>
      </c>
      <c r="D17" s="23" t="str">
        <f>IF(D15="ошибка расчета","ставки за год",D15/12)</f>
        <v>ставки за год</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Единая часть фикированного платежа ",N3," руб."," Максимальный размер фиксированного платежа ",N7," руб."," Максимальный размер будет достигрут при доходе ",N9," руб.",N11,N10," руб.",M11)</f>
        <v xml:space="preserve">СПРАВОЧНО!!! Ставки за год 2025 !!!!! Единая часть фикированного платежа 53658 руб. Максимальный размер фиксированного платежа 300888 руб. Максимальный размер будет достигрут при доходе 25023000 руб. До предельного дохода осталось 25023000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K5:K8"/>
    <mergeCell ref="A7:A8"/>
    <mergeCell ref="B7:B8"/>
    <mergeCell ref="B1:K2"/>
    <mergeCell ref="M2:N2"/>
    <mergeCell ref="B3:B4"/>
    <mergeCell ref="C3:E3"/>
    <mergeCell ref="F3:H3"/>
    <mergeCell ref="I3:K3"/>
    <mergeCell ref="A5:A6"/>
    <mergeCell ref="B5:B6"/>
    <mergeCell ref="F5:H8"/>
    <mergeCell ref="I5:I8"/>
    <mergeCell ref="J5:J8"/>
    <mergeCell ref="A18:K19"/>
    <mergeCell ref="B20:K22"/>
    <mergeCell ref="B25:K42"/>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20.5703125" style="64" hidden="1" customWidth="1"/>
    <col min="14" max="14" width="16.28515625" style="65" hidden="1" customWidth="1"/>
    <col min="15" max="16" width="0" style="64" hidden="1" customWidth="1"/>
    <col min="17" max="16384" width="9.140625" style="64"/>
  </cols>
  <sheetData>
    <row r="1" spans="1:16" ht="15" customHeight="1" x14ac:dyDescent="0.25">
      <c r="A1" s="24"/>
      <c r="B1" s="171" t="str">
        <f>CONCATENATE("Фиксированные платежи ИП в ПФР ",O2," год")</f>
        <v>Фиксированные платежи ИП в ПФР 2026 год</v>
      </c>
      <c r="C1" s="171"/>
      <c r="D1" s="171"/>
      <c r="E1" s="171"/>
      <c r="F1" s="171"/>
      <c r="G1" s="171"/>
      <c r="H1" s="171"/>
      <c r="I1" s="171"/>
      <c r="J1" s="171"/>
      <c r="K1" s="171"/>
      <c r="O1" s="64" t="s">
        <v>35</v>
      </c>
    </row>
    <row r="2" spans="1:16" ht="15.75" customHeight="1" thickBot="1" x14ac:dyDescent="0.3">
      <c r="A2" s="25"/>
      <c r="B2" s="172"/>
      <c r="C2" s="172"/>
      <c r="D2" s="172"/>
      <c r="E2" s="172"/>
      <c r="F2" s="175"/>
      <c r="G2" s="175"/>
      <c r="H2" s="175"/>
      <c r="I2" s="175"/>
      <c r="J2" s="175"/>
      <c r="K2" s="175"/>
      <c r="M2" s="170" t="s">
        <v>31</v>
      </c>
      <c r="N2" s="170"/>
      <c r="O2" s="66" t="s">
        <v>46</v>
      </c>
    </row>
    <row r="3" spans="1:16" x14ac:dyDescent="0.25">
      <c r="A3" s="25"/>
      <c r="B3" s="96"/>
      <c r="C3" s="93" t="s">
        <v>44</v>
      </c>
      <c r="D3" s="94"/>
      <c r="E3" s="95"/>
      <c r="F3" s="176" t="s">
        <v>7</v>
      </c>
      <c r="G3" s="176"/>
      <c r="H3" s="176"/>
      <c r="I3" s="176" t="s">
        <v>0</v>
      </c>
      <c r="J3" s="176"/>
      <c r="K3" s="176"/>
      <c r="M3" s="67" t="s">
        <v>43</v>
      </c>
      <c r="N3" s="68">
        <v>57390</v>
      </c>
      <c r="P3" s="70">
        <f>N3+N5</f>
        <v>57390</v>
      </c>
    </row>
    <row r="4" spans="1:16" ht="15.75" thickBot="1" x14ac:dyDescent="0.3">
      <c r="A4" s="25"/>
      <c r="B4" s="97"/>
      <c r="C4" s="28" t="s">
        <v>1</v>
      </c>
      <c r="D4" s="29" t="s">
        <v>2</v>
      </c>
      <c r="E4" s="30" t="s">
        <v>3</v>
      </c>
      <c r="F4" s="79" t="s">
        <v>1</v>
      </c>
      <c r="G4" s="79" t="s">
        <v>2</v>
      </c>
      <c r="H4" s="79" t="s">
        <v>3</v>
      </c>
      <c r="I4" s="79" t="s">
        <v>1</v>
      </c>
      <c r="J4" s="79" t="s">
        <v>2</v>
      </c>
      <c r="K4" s="79" t="s">
        <v>3</v>
      </c>
      <c r="M4" s="62" t="s">
        <v>30</v>
      </c>
      <c r="N4" s="68">
        <v>0</v>
      </c>
    </row>
    <row r="5" spans="1:16" ht="15" customHeight="1" x14ac:dyDescent="0.25">
      <c r="A5" s="103"/>
      <c r="B5" s="110" t="s">
        <v>17</v>
      </c>
      <c r="C5" s="9">
        <f>IF(G11&lt;300000.01,N3,0)</f>
        <v>57390</v>
      </c>
      <c r="D5" s="56">
        <f>C5/4</f>
        <v>14347.5</v>
      </c>
      <c r="E5" s="10">
        <f>C5/12</f>
        <v>4782.5</v>
      </c>
      <c r="F5" s="174"/>
      <c r="G5" s="174"/>
      <c r="H5" s="174"/>
      <c r="I5" s="174">
        <f>N5</f>
        <v>0</v>
      </c>
      <c r="J5" s="174">
        <f>I5/4</f>
        <v>0</v>
      </c>
      <c r="K5" s="174">
        <f>I5/12</f>
        <v>0</v>
      </c>
      <c r="M5" s="67" t="s">
        <v>21</v>
      </c>
      <c r="N5" s="68">
        <v>0</v>
      </c>
    </row>
    <row r="6" spans="1:16" ht="15.75" hidden="1" customHeight="1" thickBot="1" x14ac:dyDescent="0.3">
      <c r="A6" s="103"/>
      <c r="B6" s="104"/>
      <c r="C6" s="3" t="e">
        <f>IF(G11&lt;300001,G10*G14*12,"-")</f>
        <v>#VALUE!</v>
      </c>
      <c r="D6" s="7" t="e">
        <f>C6/4</f>
        <v>#VALUE!</v>
      </c>
      <c r="E6" s="8" t="e">
        <f>C6/12</f>
        <v>#VALUE!</v>
      </c>
      <c r="F6" s="174"/>
      <c r="G6" s="174"/>
      <c r="H6" s="174"/>
      <c r="I6" s="174"/>
      <c r="J6" s="174"/>
      <c r="K6" s="174"/>
      <c r="M6" s="67"/>
      <c r="N6" s="68"/>
    </row>
    <row r="7" spans="1:16" ht="15" customHeight="1" x14ac:dyDescent="0.25">
      <c r="A7" s="103"/>
      <c r="B7" s="104" t="s">
        <v>23</v>
      </c>
      <c r="C7" s="3">
        <f>IF(G11&gt;300000,N3+((G11-300000)/100*1),0)</f>
        <v>0</v>
      </c>
      <c r="D7" s="4">
        <f>C7/4</f>
        <v>0</v>
      </c>
      <c r="E7" s="5">
        <f>C7/12</f>
        <v>0</v>
      </c>
      <c r="F7" s="174"/>
      <c r="G7" s="174"/>
      <c r="H7" s="174"/>
      <c r="I7" s="174"/>
      <c r="J7" s="174"/>
      <c r="K7" s="174"/>
      <c r="M7" s="69" t="s">
        <v>32</v>
      </c>
      <c r="N7" s="68">
        <v>321818</v>
      </c>
    </row>
    <row r="8" spans="1:16" ht="15.75" hidden="1" customHeight="1" thickBot="1" x14ac:dyDescent="0.3">
      <c r="A8" s="103"/>
      <c r="B8" s="105"/>
      <c r="C8" s="58" t="str">
        <f>IF(G11&gt;300000,G10*G14*12+((G11-300000)*1%),"-")</f>
        <v>-</v>
      </c>
      <c r="D8" s="7" t="e">
        <f>C8/4</f>
        <v>#VALUE!</v>
      </c>
      <c r="E8" s="50" t="e">
        <f>C8/12</f>
        <v>#VALUE!</v>
      </c>
      <c r="F8" s="174"/>
      <c r="G8" s="174"/>
      <c r="H8" s="174"/>
      <c r="I8" s="174"/>
      <c r="J8" s="174"/>
      <c r="K8" s="174"/>
      <c r="M8" s="67"/>
      <c r="N8" s="68"/>
    </row>
    <row r="9" spans="1:16" ht="15.75" thickBot="1" x14ac:dyDescent="0.3">
      <c r="A9" s="25"/>
      <c r="B9" s="132" t="s">
        <v>14</v>
      </c>
      <c r="C9" s="3" t="s">
        <v>1</v>
      </c>
      <c r="D9" s="5">
        <f>IF(G11&lt;300000,C5+I5,0)</f>
        <v>57390</v>
      </c>
      <c r="E9" s="33"/>
      <c r="F9" s="34"/>
      <c r="G9" s="34"/>
      <c r="H9" s="34"/>
      <c r="I9" s="34"/>
      <c r="J9" s="34"/>
      <c r="K9" s="35"/>
      <c r="M9" s="69" t="s">
        <v>34</v>
      </c>
      <c r="N9" s="68">
        <f>((N7-N5-N3)*100)+300000</f>
        <v>26742800</v>
      </c>
    </row>
    <row r="10" spans="1:16" ht="15.75" thickBot="1" x14ac:dyDescent="0.3">
      <c r="A10" s="25"/>
      <c r="B10" s="132"/>
      <c r="C10" s="11" t="s">
        <v>2</v>
      </c>
      <c r="D10" s="12">
        <f>D9/4</f>
        <v>14347.5</v>
      </c>
      <c r="E10" s="34"/>
      <c r="F10" s="36" t="s">
        <v>5</v>
      </c>
      <c r="G10" s="71" t="s">
        <v>28</v>
      </c>
      <c r="H10" s="34"/>
      <c r="I10" s="34"/>
      <c r="J10" s="34"/>
      <c r="K10" s="35"/>
      <c r="M10" s="67" t="s">
        <v>41</v>
      </c>
      <c r="N10" s="68">
        <f>IF(G11&gt;N9,G11-N9,N9-G11)</f>
        <v>26742800</v>
      </c>
    </row>
    <row r="11" spans="1:16" ht="15.75" thickBot="1" x14ac:dyDescent="0.3">
      <c r="A11" s="25"/>
      <c r="B11" s="133"/>
      <c r="C11" s="6" t="s">
        <v>3</v>
      </c>
      <c r="D11" s="8">
        <f>D9/12</f>
        <v>4782.5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6" x14ac:dyDescent="0.25">
      <c r="A12" s="25"/>
      <c r="B12" s="134" t="s">
        <v>15</v>
      </c>
      <c r="C12" s="13" t="s">
        <v>1</v>
      </c>
      <c r="D12" s="14">
        <f>IF(C7=0,0,IF(C7+I5&gt;N7,N7,C7+I5))</f>
        <v>0</v>
      </c>
      <c r="E12" s="26"/>
      <c r="F12" s="162" t="s">
        <v>18</v>
      </c>
      <c r="G12" s="162"/>
      <c r="H12" s="163"/>
      <c r="I12" s="26"/>
      <c r="J12" s="26"/>
      <c r="K12" s="27"/>
    </row>
    <row r="13" spans="1:16"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6" ht="15.75" customHeight="1" thickBot="1" x14ac:dyDescent="0.3">
      <c r="A14" s="25"/>
      <c r="B14" s="136"/>
      <c r="C14" s="16" t="s">
        <v>3</v>
      </c>
      <c r="D14" s="17">
        <f>D12/12</f>
        <v>0</v>
      </c>
      <c r="E14" s="26"/>
      <c r="F14" s="139"/>
      <c r="G14" s="44" t="str">
        <f>G10</f>
        <v>не используется</v>
      </c>
      <c r="H14" s="46" t="s">
        <v>9</v>
      </c>
      <c r="I14" s="164"/>
      <c r="J14" s="165"/>
      <c r="K14" s="166"/>
    </row>
    <row r="15" spans="1:16" ht="15" customHeight="1" thickBot="1" x14ac:dyDescent="0.3">
      <c r="A15" s="25"/>
      <c r="B15" s="146" t="s">
        <v>13</v>
      </c>
      <c r="C15" s="18" t="str">
        <f>IF(D15="ошибка расчета","-------&gt;",C12)</f>
        <v>-------&gt;</v>
      </c>
      <c r="D15" s="19" t="str">
        <f>IF(G11=0,IF((C5*8)+N5&lt;N7,"ошибка расчета",IF((C5*8)+N5&gt;N7,"ошибка расчета",C5*8)),0)</f>
        <v>ошибка расчета</v>
      </c>
      <c r="E15" s="26"/>
      <c r="F15" s="139" t="s">
        <v>20</v>
      </c>
      <c r="G15" s="44" t="str">
        <f>G10</f>
        <v>не используется</v>
      </c>
      <c r="H15" s="46" t="s">
        <v>8</v>
      </c>
      <c r="I15" s="164"/>
      <c r="J15" s="165"/>
      <c r="K15" s="166"/>
    </row>
    <row r="16" spans="1:16" ht="15" customHeight="1" thickBot="1" x14ac:dyDescent="0.3">
      <c r="A16" s="25"/>
      <c r="B16" s="147"/>
      <c r="C16" s="18" t="str">
        <f>IF(D15="ошибка расчета","-------&gt;",C13)</f>
        <v>-------&gt;</v>
      </c>
      <c r="D16" s="21" t="str">
        <f>IF(D15="ошибка расчета","необходимо проверить",D15/4)</f>
        <v>необходимо проверить</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-------&gt;</v>
      </c>
      <c r="D17" s="23" t="str">
        <f>IF(D15="ошибка расчета","ставки за год",D15/12)</f>
        <v>ставки за год</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Единая часть фикированного платежа ",N3," руб."," Максимальный размер фиксированного платежа ",N7," руб."," Максимальный размер будет достигрут при доходе ",N9," руб.",N11,N10," руб.",M11)</f>
        <v xml:space="preserve">СПРАВОЧНО!!! Ставки за год 2026 !!!!! Единая часть фикированного платежа 57390 руб. Максимальный размер фиксированного платежа 321818 руб. Максимальный размер будет достигрут при доходе 26742800 руб. До предельного дохода осталось 26742800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K5:K8"/>
    <mergeCell ref="A7:A8"/>
    <mergeCell ref="B7:B8"/>
    <mergeCell ref="B1:K2"/>
    <mergeCell ref="M2:N2"/>
    <mergeCell ref="B3:B4"/>
    <mergeCell ref="C3:E3"/>
    <mergeCell ref="F3:H3"/>
    <mergeCell ref="I3:K3"/>
    <mergeCell ref="A5:A6"/>
    <mergeCell ref="B5:B6"/>
    <mergeCell ref="F5:H8"/>
    <mergeCell ref="I5:I8"/>
    <mergeCell ref="J5:J8"/>
    <mergeCell ref="A18:K19"/>
    <mergeCell ref="B20:K22"/>
    <mergeCell ref="B25:K42"/>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20.5703125" style="64" hidden="1" customWidth="1"/>
    <col min="14" max="14" width="16.28515625" style="65" hidden="1" customWidth="1"/>
    <col min="15" max="16" width="0" style="64" hidden="1" customWidth="1"/>
    <col min="17" max="16384" width="9.140625" style="64"/>
  </cols>
  <sheetData>
    <row r="1" spans="1:16" ht="15" customHeight="1" x14ac:dyDescent="0.25">
      <c r="A1" s="24"/>
      <c r="B1" s="171" t="str">
        <f>CONCATENATE("Фиксированные платежи ИП в ПФР ",O2," год")</f>
        <v>Фиксированные платежи ИП в ПФР 2027 год</v>
      </c>
      <c r="C1" s="171"/>
      <c r="D1" s="171"/>
      <c r="E1" s="171"/>
      <c r="F1" s="171"/>
      <c r="G1" s="171"/>
      <c r="H1" s="171"/>
      <c r="I1" s="171"/>
      <c r="J1" s="171"/>
      <c r="K1" s="171"/>
      <c r="O1" s="64" t="s">
        <v>35</v>
      </c>
    </row>
    <row r="2" spans="1:16" ht="15.75" customHeight="1" thickBot="1" x14ac:dyDescent="0.3">
      <c r="A2" s="25"/>
      <c r="B2" s="172"/>
      <c r="C2" s="172"/>
      <c r="D2" s="172"/>
      <c r="E2" s="172"/>
      <c r="F2" s="175"/>
      <c r="G2" s="175"/>
      <c r="H2" s="175"/>
      <c r="I2" s="175"/>
      <c r="J2" s="175"/>
      <c r="K2" s="175"/>
      <c r="M2" s="170" t="s">
        <v>31</v>
      </c>
      <c r="N2" s="170"/>
      <c r="O2" s="66" t="s">
        <v>47</v>
      </c>
    </row>
    <row r="3" spans="1:16" x14ac:dyDescent="0.25">
      <c r="A3" s="25"/>
      <c r="B3" s="96"/>
      <c r="C3" s="93" t="s">
        <v>44</v>
      </c>
      <c r="D3" s="94"/>
      <c r="E3" s="95"/>
      <c r="F3" s="176" t="s">
        <v>7</v>
      </c>
      <c r="G3" s="176"/>
      <c r="H3" s="176"/>
      <c r="I3" s="176" t="s">
        <v>0</v>
      </c>
      <c r="J3" s="176"/>
      <c r="K3" s="176"/>
      <c r="M3" s="67" t="s">
        <v>43</v>
      </c>
      <c r="N3" s="68">
        <v>61154</v>
      </c>
      <c r="P3" s="70">
        <f>N3+N5</f>
        <v>61154</v>
      </c>
    </row>
    <row r="4" spans="1:16" ht="15.75" thickBot="1" x14ac:dyDescent="0.3">
      <c r="A4" s="25"/>
      <c r="B4" s="97"/>
      <c r="C4" s="28" t="s">
        <v>1</v>
      </c>
      <c r="D4" s="29" t="s">
        <v>2</v>
      </c>
      <c r="E4" s="30" t="s">
        <v>3</v>
      </c>
      <c r="F4" s="79" t="s">
        <v>1</v>
      </c>
      <c r="G4" s="79" t="s">
        <v>2</v>
      </c>
      <c r="H4" s="79" t="s">
        <v>3</v>
      </c>
      <c r="I4" s="79" t="s">
        <v>1</v>
      </c>
      <c r="J4" s="79" t="s">
        <v>2</v>
      </c>
      <c r="K4" s="79" t="s">
        <v>3</v>
      </c>
      <c r="M4" s="62" t="s">
        <v>30</v>
      </c>
      <c r="N4" s="68">
        <v>0</v>
      </c>
    </row>
    <row r="5" spans="1:16" ht="15" customHeight="1" x14ac:dyDescent="0.25">
      <c r="A5" s="103"/>
      <c r="B5" s="110" t="s">
        <v>17</v>
      </c>
      <c r="C5" s="9">
        <f>IF(G11&lt;300000.01,N3,0)</f>
        <v>61154</v>
      </c>
      <c r="D5" s="56">
        <f>C5/4</f>
        <v>15288.5</v>
      </c>
      <c r="E5" s="10">
        <f>C5/12</f>
        <v>5096.166666666667</v>
      </c>
      <c r="F5" s="174"/>
      <c r="G5" s="174"/>
      <c r="H5" s="174"/>
      <c r="I5" s="174">
        <f>N5</f>
        <v>0</v>
      </c>
      <c r="J5" s="174">
        <f>I5/4</f>
        <v>0</v>
      </c>
      <c r="K5" s="174">
        <f>I5/12</f>
        <v>0</v>
      </c>
      <c r="M5" s="67" t="s">
        <v>21</v>
      </c>
      <c r="N5" s="68">
        <v>0</v>
      </c>
    </row>
    <row r="6" spans="1:16" ht="15.75" hidden="1" customHeight="1" thickBot="1" x14ac:dyDescent="0.3">
      <c r="A6" s="103"/>
      <c r="B6" s="104"/>
      <c r="C6" s="3" t="e">
        <f>IF(G11&lt;300001,G10*G14*12,"-")</f>
        <v>#VALUE!</v>
      </c>
      <c r="D6" s="7" t="e">
        <f>C6/4</f>
        <v>#VALUE!</v>
      </c>
      <c r="E6" s="8" t="e">
        <f>C6/12</f>
        <v>#VALUE!</v>
      </c>
      <c r="F6" s="174"/>
      <c r="G6" s="174"/>
      <c r="H6" s="174"/>
      <c r="I6" s="174"/>
      <c r="J6" s="174"/>
      <c r="K6" s="174"/>
      <c r="M6" s="67"/>
      <c r="N6" s="68"/>
    </row>
    <row r="7" spans="1:16" ht="15" customHeight="1" x14ac:dyDescent="0.25">
      <c r="A7" s="103"/>
      <c r="B7" s="104" t="s">
        <v>23</v>
      </c>
      <c r="C7" s="3">
        <f>IF(G11&gt;300000,N3+((G11-300000)/100*1),0)</f>
        <v>0</v>
      </c>
      <c r="D7" s="4">
        <f>C7/4</f>
        <v>0</v>
      </c>
      <c r="E7" s="5">
        <f>C7/12</f>
        <v>0</v>
      </c>
      <c r="F7" s="174"/>
      <c r="G7" s="174"/>
      <c r="H7" s="174"/>
      <c r="I7" s="174"/>
      <c r="J7" s="174"/>
      <c r="K7" s="174"/>
      <c r="M7" s="69" t="s">
        <v>32</v>
      </c>
      <c r="N7" s="68">
        <v>342923</v>
      </c>
    </row>
    <row r="8" spans="1:16" ht="15.75" hidden="1" customHeight="1" thickBot="1" x14ac:dyDescent="0.3">
      <c r="A8" s="103"/>
      <c r="B8" s="105"/>
      <c r="C8" s="58" t="str">
        <f>IF(G11&gt;300000,G10*G14*12+((G11-300000)*1%),"-")</f>
        <v>-</v>
      </c>
      <c r="D8" s="7" t="e">
        <f>C8/4</f>
        <v>#VALUE!</v>
      </c>
      <c r="E8" s="50" t="e">
        <f>C8/12</f>
        <v>#VALUE!</v>
      </c>
      <c r="F8" s="174"/>
      <c r="G8" s="174"/>
      <c r="H8" s="174"/>
      <c r="I8" s="174"/>
      <c r="J8" s="174"/>
      <c r="K8" s="174"/>
      <c r="M8" s="67"/>
      <c r="N8" s="68"/>
    </row>
    <row r="9" spans="1:16" ht="15.75" thickBot="1" x14ac:dyDescent="0.3">
      <c r="A9" s="25"/>
      <c r="B9" s="132" t="s">
        <v>14</v>
      </c>
      <c r="C9" s="3" t="s">
        <v>1</v>
      </c>
      <c r="D9" s="5">
        <f>IF(G11&lt;300000,C5+I5,0)</f>
        <v>61154</v>
      </c>
      <c r="E9" s="33"/>
      <c r="F9" s="34"/>
      <c r="G9" s="34"/>
      <c r="H9" s="34"/>
      <c r="I9" s="34"/>
      <c r="J9" s="34"/>
      <c r="K9" s="35"/>
      <c r="M9" s="69" t="s">
        <v>34</v>
      </c>
      <c r="N9" s="68">
        <f>((N7-N5-N3)*100)+300000</f>
        <v>28476900</v>
      </c>
    </row>
    <row r="10" spans="1:16" ht="15.75" thickBot="1" x14ac:dyDescent="0.3">
      <c r="A10" s="25"/>
      <c r="B10" s="132"/>
      <c r="C10" s="11" t="s">
        <v>2</v>
      </c>
      <c r="D10" s="12">
        <f>D9/4</f>
        <v>15288.5</v>
      </c>
      <c r="E10" s="34"/>
      <c r="F10" s="36" t="s">
        <v>5</v>
      </c>
      <c r="G10" s="71" t="s">
        <v>28</v>
      </c>
      <c r="H10" s="34"/>
      <c r="I10" s="34"/>
      <c r="J10" s="34"/>
      <c r="K10" s="35"/>
      <c r="M10" s="67" t="s">
        <v>41</v>
      </c>
      <c r="N10" s="68">
        <f>IF(G11&gt;N9,G11-N9,N9-G11)</f>
        <v>28476900</v>
      </c>
    </row>
    <row r="11" spans="1:16" ht="15.75" thickBot="1" x14ac:dyDescent="0.3">
      <c r="A11" s="25"/>
      <c r="B11" s="133"/>
      <c r="C11" s="6" t="s">
        <v>3</v>
      </c>
      <c r="D11" s="8">
        <f>D9/12</f>
        <v>5096.166666666667</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6" x14ac:dyDescent="0.25">
      <c r="A12" s="25"/>
      <c r="B12" s="134" t="s">
        <v>15</v>
      </c>
      <c r="C12" s="13" t="s">
        <v>1</v>
      </c>
      <c r="D12" s="14">
        <f>IF(C7=0,0,IF(C7+I5&gt;N7,N7,C7+I5))</f>
        <v>0</v>
      </c>
      <c r="E12" s="26"/>
      <c r="F12" s="162" t="s">
        <v>18</v>
      </c>
      <c r="G12" s="162"/>
      <c r="H12" s="163"/>
      <c r="I12" s="26"/>
      <c r="J12" s="26"/>
      <c r="K12" s="27"/>
    </row>
    <row r="13" spans="1:16"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6" ht="15.75" customHeight="1" thickBot="1" x14ac:dyDescent="0.3">
      <c r="A14" s="25"/>
      <c r="B14" s="136"/>
      <c r="C14" s="16" t="s">
        <v>3</v>
      </c>
      <c r="D14" s="17">
        <f>D12/12</f>
        <v>0</v>
      </c>
      <c r="E14" s="26"/>
      <c r="F14" s="139"/>
      <c r="G14" s="44" t="str">
        <f>G10</f>
        <v>не используется</v>
      </c>
      <c r="H14" s="46" t="s">
        <v>9</v>
      </c>
      <c r="I14" s="164"/>
      <c r="J14" s="165"/>
      <c r="K14" s="166"/>
    </row>
    <row r="15" spans="1:16" ht="15" customHeight="1" thickBot="1" x14ac:dyDescent="0.3">
      <c r="A15" s="25"/>
      <c r="B15" s="146" t="s">
        <v>13</v>
      </c>
      <c r="C15" s="18" t="str">
        <f>IF(D15="ошибка расчета","-------&gt;",C12)</f>
        <v>-------&gt;</v>
      </c>
      <c r="D15" s="19" t="str">
        <f>IF(G11=0,IF((C5*8)+N5&lt;N7,"ошибка расчета",IF((C5*8)+N5&gt;N7,"ошибка расчета",C5*8)),0)</f>
        <v>ошибка расчета</v>
      </c>
      <c r="E15" s="26"/>
      <c r="F15" s="139" t="s">
        <v>20</v>
      </c>
      <c r="G15" s="44" t="str">
        <f>G10</f>
        <v>не используется</v>
      </c>
      <c r="H15" s="46" t="s">
        <v>8</v>
      </c>
      <c r="I15" s="164"/>
      <c r="J15" s="165"/>
      <c r="K15" s="166"/>
    </row>
    <row r="16" spans="1:16" ht="15" customHeight="1" thickBot="1" x14ac:dyDescent="0.3">
      <c r="A16" s="25"/>
      <c r="B16" s="147"/>
      <c r="C16" s="18" t="str">
        <f>IF(D15="ошибка расчета","-------&gt;",C13)</f>
        <v>-------&gt;</v>
      </c>
      <c r="D16" s="21" t="str">
        <f>IF(D15="ошибка расчета","необходимо проверить",D15/4)</f>
        <v>необходимо проверить</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-------&gt;</v>
      </c>
      <c r="D17" s="23" t="str">
        <f>IF(D15="ошибка расчета","ставки за год",D15/12)</f>
        <v>ставки за год</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Единая часть фикированного платежа ",N3," руб."," Максимальный размер фиксированного платежа ",N7," руб."," Максимальный размер будет достигрут при доходе ",N9," руб.",N11,N10," руб.",M11)</f>
        <v xml:space="preserve">СПРАВОЧНО!!! Ставки за год 2027 !!!!! Единая часть фикированного платежа 61154 руб. Максимальный размер фиксированного платежа 342923 руб. Максимальный размер будет достигрут при доходе 28476900 руб. До предельного дохода осталось 28476900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K5:K8"/>
    <mergeCell ref="A7:A8"/>
    <mergeCell ref="B7:B8"/>
    <mergeCell ref="B1:K2"/>
    <mergeCell ref="M2:N2"/>
    <mergeCell ref="B3:B4"/>
    <mergeCell ref="C3:E3"/>
    <mergeCell ref="F3:H3"/>
    <mergeCell ref="I3:K3"/>
    <mergeCell ref="A5:A6"/>
    <mergeCell ref="B5:B6"/>
    <mergeCell ref="F5:H8"/>
    <mergeCell ref="I5:I8"/>
    <mergeCell ref="J5:J8"/>
    <mergeCell ref="A18:K19"/>
    <mergeCell ref="B20:K22"/>
    <mergeCell ref="B25:K42"/>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20.5703125" style="64" bestFit="1" customWidth="1"/>
    <col min="14" max="14" width="16.28515625" style="65" bestFit="1" customWidth="1"/>
    <col min="15" max="16384" width="9.140625" style="64"/>
  </cols>
  <sheetData>
    <row r="1" spans="1:16" ht="15" customHeight="1" x14ac:dyDescent="0.25">
      <c r="A1" s="24"/>
      <c r="B1" s="171" t="str">
        <f>CONCATENATE("Фиксированные платежи ИП в ПФР ",O2," год")</f>
        <v>Фиксированные платежи ИП в ПФР 3000 год</v>
      </c>
      <c r="C1" s="171"/>
      <c r="D1" s="171"/>
      <c r="E1" s="171"/>
      <c r="F1" s="171"/>
      <c r="G1" s="171"/>
      <c r="H1" s="171"/>
      <c r="I1" s="171"/>
      <c r="J1" s="171"/>
      <c r="K1" s="171"/>
      <c r="O1" s="64" t="s">
        <v>35</v>
      </c>
    </row>
    <row r="2" spans="1:16" ht="15.75" customHeight="1" thickBot="1" x14ac:dyDescent="0.3">
      <c r="A2" s="25"/>
      <c r="B2" s="172"/>
      <c r="C2" s="172"/>
      <c r="D2" s="172"/>
      <c r="E2" s="172"/>
      <c r="F2" s="175"/>
      <c r="G2" s="175"/>
      <c r="H2" s="175"/>
      <c r="I2" s="175"/>
      <c r="J2" s="175"/>
      <c r="K2" s="175"/>
      <c r="M2" s="170" t="s">
        <v>31</v>
      </c>
      <c r="N2" s="170"/>
      <c r="O2" s="77" t="s">
        <v>42</v>
      </c>
    </row>
    <row r="3" spans="1:16" x14ac:dyDescent="0.25">
      <c r="A3" s="25"/>
      <c r="B3" s="96"/>
      <c r="C3" s="93" t="s">
        <v>44</v>
      </c>
      <c r="D3" s="94"/>
      <c r="E3" s="95"/>
      <c r="F3" s="176" t="s">
        <v>7</v>
      </c>
      <c r="G3" s="176"/>
      <c r="H3" s="176"/>
      <c r="I3" s="176" t="s">
        <v>0</v>
      </c>
      <c r="J3" s="176"/>
      <c r="K3" s="176"/>
      <c r="M3" s="67" t="s">
        <v>43</v>
      </c>
      <c r="N3" s="78"/>
      <c r="P3" s="70">
        <f>N3+N5</f>
        <v>0</v>
      </c>
    </row>
    <row r="4" spans="1:16" ht="15.75" thickBot="1" x14ac:dyDescent="0.3">
      <c r="A4" s="25"/>
      <c r="B4" s="97"/>
      <c r="C4" s="28" t="s">
        <v>1</v>
      </c>
      <c r="D4" s="29" t="s">
        <v>2</v>
      </c>
      <c r="E4" s="30" t="s">
        <v>3</v>
      </c>
      <c r="F4" s="79" t="s">
        <v>1</v>
      </c>
      <c r="G4" s="79" t="s">
        <v>2</v>
      </c>
      <c r="H4" s="79" t="s">
        <v>3</v>
      </c>
      <c r="I4" s="79" t="s">
        <v>1</v>
      </c>
      <c r="J4" s="79" t="s">
        <v>2</v>
      </c>
      <c r="K4" s="79" t="s">
        <v>3</v>
      </c>
      <c r="M4" s="62" t="s">
        <v>30</v>
      </c>
      <c r="N4" s="68">
        <v>0</v>
      </c>
    </row>
    <row r="5" spans="1:16" ht="15" customHeight="1" x14ac:dyDescent="0.25">
      <c r="A5" s="103"/>
      <c r="B5" s="110" t="s">
        <v>17</v>
      </c>
      <c r="C5" s="9">
        <f>IF(G11&lt;300000.01,N3,0)</f>
        <v>0</v>
      </c>
      <c r="D5" s="56">
        <f>C5/4</f>
        <v>0</v>
      </c>
      <c r="E5" s="10">
        <f>C5/12</f>
        <v>0</v>
      </c>
      <c r="F5" s="174"/>
      <c r="G5" s="174"/>
      <c r="H5" s="174"/>
      <c r="I5" s="174">
        <f>N5</f>
        <v>0</v>
      </c>
      <c r="J5" s="174">
        <f>I5/4</f>
        <v>0</v>
      </c>
      <c r="K5" s="174">
        <f>I5/12</f>
        <v>0</v>
      </c>
      <c r="M5" s="67" t="s">
        <v>21</v>
      </c>
      <c r="N5" s="68">
        <v>0</v>
      </c>
    </row>
    <row r="6" spans="1:16" ht="15.75" hidden="1" customHeight="1" thickBot="1" x14ac:dyDescent="0.3">
      <c r="A6" s="103"/>
      <c r="B6" s="104"/>
      <c r="C6" s="3" t="e">
        <f>IF(G11&lt;300001,G10*G14*12,"-")</f>
        <v>#VALUE!</v>
      </c>
      <c r="D6" s="7" t="e">
        <f>C6/4</f>
        <v>#VALUE!</v>
      </c>
      <c r="E6" s="8" t="e">
        <f>C6/12</f>
        <v>#VALUE!</v>
      </c>
      <c r="F6" s="174"/>
      <c r="G6" s="174"/>
      <c r="H6" s="174"/>
      <c r="I6" s="174"/>
      <c r="J6" s="174"/>
      <c r="K6" s="174"/>
      <c r="M6" s="67"/>
      <c r="N6" s="68"/>
    </row>
    <row r="7" spans="1:16" ht="15" customHeight="1" x14ac:dyDescent="0.25">
      <c r="A7" s="103"/>
      <c r="B7" s="104" t="s">
        <v>23</v>
      </c>
      <c r="C7" s="3">
        <f>IF(G11&gt;300000,N3+((G11-300000)/100*1),0)</f>
        <v>0</v>
      </c>
      <c r="D7" s="4">
        <f>C7/4</f>
        <v>0</v>
      </c>
      <c r="E7" s="5">
        <f>C7/12</f>
        <v>0</v>
      </c>
      <c r="F7" s="174"/>
      <c r="G7" s="174"/>
      <c r="H7" s="174"/>
      <c r="I7" s="174"/>
      <c r="J7" s="174"/>
      <c r="K7" s="174"/>
      <c r="M7" s="69" t="s">
        <v>32</v>
      </c>
      <c r="N7" s="78"/>
    </row>
    <row r="8" spans="1:16" ht="15.75" hidden="1" customHeight="1" thickBot="1" x14ac:dyDescent="0.3">
      <c r="A8" s="103"/>
      <c r="B8" s="105"/>
      <c r="C8" s="58" t="str">
        <f>IF(G11&gt;300000,G10*G14*12+((G11-300000)*1%),"-")</f>
        <v>-</v>
      </c>
      <c r="D8" s="7" t="e">
        <f>C8/4</f>
        <v>#VALUE!</v>
      </c>
      <c r="E8" s="50" t="e">
        <f>C8/12</f>
        <v>#VALUE!</v>
      </c>
      <c r="F8" s="174"/>
      <c r="G8" s="174"/>
      <c r="H8" s="174"/>
      <c r="I8" s="174"/>
      <c r="J8" s="174"/>
      <c r="K8" s="174"/>
      <c r="M8" s="67"/>
      <c r="N8" s="68"/>
    </row>
    <row r="9" spans="1:16" ht="15.75" thickBot="1" x14ac:dyDescent="0.3">
      <c r="A9" s="25"/>
      <c r="B9" s="132" t="s">
        <v>14</v>
      </c>
      <c r="C9" s="3" t="s">
        <v>1</v>
      </c>
      <c r="D9" s="5">
        <f>IF(G11&lt;300000,C5+I5,0)</f>
        <v>0</v>
      </c>
      <c r="E9" s="33"/>
      <c r="F9" s="34"/>
      <c r="G9" s="34"/>
      <c r="H9" s="34"/>
      <c r="I9" s="34"/>
      <c r="J9" s="34"/>
      <c r="K9" s="35"/>
      <c r="M9" s="69" t="s">
        <v>34</v>
      </c>
      <c r="N9" s="68">
        <f>((N7-N5-N3)*100)+300000</f>
        <v>300000</v>
      </c>
    </row>
    <row r="10" spans="1:16" ht="15.75" thickBot="1" x14ac:dyDescent="0.3">
      <c r="A10" s="25"/>
      <c r="B10" s="132"/>
      <c r="C10" s="11" t="s">
        <v>2</v>
      </c>
      <c r="D10" s="12">
        <f>D9/4</f>
        <v>0</v>
      </c>
      <c r="E10" s="34"/>
      <c r="F10" s="36" t="s">
        <v>5</v>
      </c>
      <c r="G10" s="71" t="s">
        <v>28</v>
      </c>
      <c r="H10" s="34"/>
      <c r="I10" s="34"/>
      <c r="J10" s="34"/>
      <c r="K10" s="35"/>
      <c r="M10" s="67" t="s">
        <v>41</v>
      </c>
      <c r="N10" s="68">
        <f>IF(G11&gt;N9,G11-N9,N9-G11)</f>
        <v>300000</v>
      </c>
    </row>
    <row r="11" spans="1:16" ht="15.75" thickBot="1" x14ac:dyDescent="0.3">
      <c r="A11" s="25"/>
      <c r="B11" s="133"/>
      <c r="C11" s="6" t="s">
        <v>3</v>
      </c>
      <c r="D11" s="8">
        <f>D9/12</f>
        <v>0</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6" x14ac:dyDescent="0.25">
      <c r="A12" s="25"/>
      <c r="B12" s="134" t="s">
        <v>15</v>
      </c>
      <c r="C12" s="13" t="s">
        <v>1</v>
      </c>
      <c r="D12" s="14">
        <f>IF(C7=0,0,IF(C7+I5&gt;N7,N7,C7+I5))</f>
        <v>0</v>
      </c>
      <c r="E12" s="26"/>
      <c r="F12" s="162" t="s">
        <v>18</v>
      </c>
      <c r="G12" s="162"/>
      <c r="H12" s="163"/>
      <c r="I12" s="26"/>
      <c r="J12" s="26"/>
      <c r="K12" s="27"/>
    </row>
    <row r="13" spans="1:16"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6" ht="15.75" customHeight="1" thickBot="1" x14ac:dyDescent="0.3">
      <c r="A14" s="25"/>
      <c r="B14" s="136"/>
      <c r="C14" s="16" t="s">
        <v>3</v>
      </c>
      <c r="D14" s="17">
        <f>D12/12</f>
        <v>0</v>
      </c>
      <c r="E14" s="26"/>
      <c r="F14" s="139"/>
      <c r="G14" s="44" t="str">
        <f>G10</f>
        <v>не используется</v>
      </c>
      <c r="H14" s="46" t="s">
        <v>9</v>
      </c>
      <c r="I14" s="164"/>
      <c r="J14" s="165"/>
      <c r="K14" s="166"/>
    </row>
    <row r="15" spans="1:16" ht="15" customHeight="1" thickBot="1" x14ac:dyDescent="0.3">
      <c r="A15" s="25"/>
      <c r="B15" s="146" t="s">
        <v>13</v>
      </c>
      <c r="C15" s="18" t="str">
        <f>IF(D15="ошибка расчета","-------&gt;",C12)</f>
        <v>год</v>
      </c>
      <c r="D15" s="19">
        <f>IF(G11=0,IF((C5*8)+N5&lt;N7,"ошибка расчета",IF((C5*8)+N5&gt;N7,"ошибка расчета",C5*8)),0)</f>
        <v>0</v>
      </c>
      <c r="E15" s="26"/>
      <c r="F15" s="139" t="s">
        <v>20</v>
      </c>
      <c r="G15" s="44" t="str">
        <f>G10</f>
        <v>не используется</v>
      </c>
      <c r="H15" s="46" t="s">
        <v>8</v>
      </c>
      <c r="I15" s="164"/>
      <c r="J15" s="165"/>
      <c r="K15" s="166"/>
    </row>
    <row r="16" spans="1:16" ht="15" customHeight="1" thickBot="1" x14ac:dyDescent="0.3">
      <c r="A16" s="25"/>
      <c r="B16" s="147"/>
      <c r="C16" s="18" t="str">
        <f>IF(D15="ошибка расчета","-------&gt;",C13)</f>
        <v>кв</v>
      </c>
      <c r="D16" s="21">
        <f>IF(D15="ошибка расчета","необходимо проверить",D15/4)</f>
        <v>0</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мес</v>
      </c>
      <c r="D17" s="23">
        <f>IF(D15="ошибка расчета","ставки за год",D15/12)</f>
        <v>0</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Единая часть фикированного платежа ",N3," руб."," Максимальный размер фиксированного платежа ",N7," руб."," Максимальный размер будет достигрут при доходе ",N9," руб.",N11,N10," руб.",M11)</f>
        <v xml:space="preserve">СПРАВОЧНО!!! Ставки за год 3000 !!!!! Единая часть фикированного платежа  руб. Максимальный размер фиксированного платежа  руб. Максимальный размер будет достигрут при доходе 300000 руб. До предельного дохода осталось 300000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K5:K8"/>
    <mergeCell ref="A7:A8"/>
    <mergeCell ref="B7:B8"/>
    <mergeCell ref="B1:K2"/>
    <mergeCell ref="M2:N2"/>
    <mergeCell ref="B3:B4"/>
    <mergeCell ref="C3:E3"/>
    <mergeCell ref="F3:H3"/>
    <mergeCell ref="I3:K3"/>
    <mergeCell ref="A5:A6"/>
    <mergeCell ref="B5:B6"/>
    <mergeCell ref="F5:H8"/>
    <mergeCell ref="I5:I8"/>
    <mergeCell ref="J5:J8"/>
    <mergeCell ref="A18:K19"/>
    <mergeCell ref="B20:K22"/>
    <mergeCell ref="B25:K42"/>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Normal="100" workbookViewId="0">
      <selection activeCell="G11" sqref="G11"/>
    </sheetView>
  </sheetViews>
  <sheetFormatPr defaultRowHeight="15" x14ac:dyDescent="0.25"/>
  <cols>
    <col min="1" max="1" width="4.85546875" style="1" customWidth="1"/>
    <col min="2" max="2" width="14" style="2" bestFit="1" customWidth="1"/>
    <col min="3" max="11" width="11.5703125" style="2" customWidth="1"/>
    <col min="12" max="16384" width="9.140625" style="1"/>
  </cols>
  <sheetData>
    <row r="1" spans="1:11" x14ac:dyDescent="0.25">
      <c r="A1" s="24"/>
      <c r="B1" s="98" t="s">
        <v>10</v>
      </c>
      <c r="C1" s="98"/>
      <c r="D1" s="98"/>
      <c r="E1" s="98"/>
      <c r="F1" s="98"/>
      <c r="G1" s="98"/>
      <c r="H1" s="98"/>
      <c r="I1" s="98"/>
      <c r="J1" s="98"/>
      <c r="K1" s="99"/>
    </row>
    <row r="2" spans="1:11" ht="15.75" thickBot="1" x14ac:dyDescent="0.3">
      <c r="A2" s="25"/>
      <c r="B2" s="26"/>
      <c r="C2" s="26"/>
      <c r="D2" s="26"/>
      <c r="E2" s="26"/>
      <c r="F2" s="26"/>
      <c r="G2" s="26"/>
      <c r="H2" s="26"/>
      <c r="I2" s="26"/>
      <c r="J2" s="26"/>
      <c r="K2" s="27"/>
    </row>
    <row r="3" spans="1:11" x14ac:dyDescent="0.25">
      <c r="A3" s="25"/>
      <c r="B3" s="96"/>
      <c r="C3" s="93" t="s">
        <v>6</v>
      </c>
      <c r="D3" s="94"/>
      <c r="E3" s="95"/>
      <c r="F3" s="93" t="s">
        <v>7</v>
      </c>
      <c r="G3" s="94"/>
      <c r="H3" s="95"/>
      <c r="I3" s="93" t="s">
        <v>0</v>
      </c>
      <c r="J3" s="94"/>
      <c r="K3" s="95"/>
    </row>
    <row r="4" spans="1:11" ht="15.75" thickBot="1" x14ac:dyDescent="0.3">
      <c r="A4" s="25"/>
      <c r="B4" s="97"/>
      <c r="C4" s="28" t="s">
        <v>1</v>
      </c>
      <c r="D4" s="29" t="s">
        <v>2</v>
      </c>
      <c r="E4" s="30" t="s">
        <v>3</v>
      </c>
      <c r="F4" s="28" t="s">
        <v>1</v>
      </c>
      <c r="G4" s="29" t="s">
        <v>2</v>
      </c>
      <c r="H4" s="30" t="s">
        <v>3</v>
      </c>
      <c r="I4" s="28" t="s">
        <v>1</v>
      </c>
      <c r="J4" s="29" t="s">
        <v>2</v>
      </c>
      <c r="K4" s="30" t="s">
        <v>3</v>
      </c>
    </row>
    <row r="5" spans="1:11" x14ac:dyDescent="0.25">
      <c r="A5" s="25"/>
      <c r="B5" s="31" t="s">
        <v>8</v>
      </c>
      <c r="C5" s="3">
        <f>G8*2*26%*12</f>
        <v>32479.199999999997</v>
      </c>
      <c r="D5" s="4">
        <f>C5/4</f>
        <v>8119.7999999999993</v>
      </c>
      <c r="E5" s="5">
        <f>C5/12</f>
        <v>2706.6</v>
      </c>
      <c r="F5" s="90"/>
      <c r="G5" s="91"/>
      <c r="H5" s="92"/>
      <c r="I5" s="88">
        <f>G8*5.1%*12</f>
        <v>3185.46</v>
      </c>
      <c r="J5" s="86">
        <f>I5/4</f>
        <v>796.36500000000001</v>
      </c>
      <c r="K5" s="84">
        <f>I5/12</f>
        <v>265.45499999999998</v>
      </c>
    </row>
    <row r="6" spans="1:11" ht="15.75" thickBot="1" x14ac:dyDescent="0.3">
      <c r="A6" s="25"/>
      <c r="B6" s="32" t="s">
        <v>9</v>
      </c>
      <c r="C6" s="6">
        <f>G8*2*20%*12</f>
        <v>24984</v>
      </c>
      <c r="D6" s="7">
        <f>C6/4</f>
        <v>6246</v>
      </c>
      <c r="E6" s="8">
        <f>C6/12</f>
        <v>2082</v>
      </c>
      <c r="F6" s="6">
        <f>G8*2*6%*12</f>
        <v>7495.2000000000007</v>
      </c>
      <c r="G6" s="7">
        <f>F6/4</f>
        <v>1873.8000000000002</v>
      </c>
      <c r="H6" s="8">
        <f>F6/12</f>
        <v>624.6</v>
      </c>
      <c r="I6" s="89"/>
      <c r="J6" s="87"/>
      <c r="K6" s="85"/>
    </row>
    <row r="7" spans="1:11" ht="15.75" thickBot="1" x14ac:dyDescent="0.3">
      <c r="A7" s="25"/>
      <c r="B7" s="81" t="s">
        <v>4</v>
      </c>
      <c r="C7" s="9" t="s">
        <v>1</v>
      </c>
      <c r="D7" s="10">
        <f>C5+I5</f>
        <v>35664.659999999996</v>
      </c>
      <c r="E7" s="33"/>
      <c r="F7" s="34"/>
      <c r="G7" s="34"/>
      <c r="H7" s="34"/>
      <c r="I7" s="34"/>
      <c r="J7" s="34"/>
      <c r="K7" s="35"/>
    </row>
    <row r="8" spans="1:11" ht="15.75" thickBot="1" x14ac:dyDescent="0.3">
      <c r="A8" s="25"/>
      <c r="B8" s="82"/>
      <c r="C8" s="11" t="s">
        <v>2</v>
      </c>
      <c r="D8" s="12">
        <f>D5+J5</f>
        <v>8916.1649999999991</v>
      </c>
      <c r="E8" s="34"/>
      <c r="F8" s="36" t="s">
        <v>5</v>
      </c>
      <c r="G8" s="37">
        <v>5205</v>
      </c>
      <c r="H8" s="34"/>
      <c r="I8" s="34"/>
      <c r="J8" s="34"/>
      <c r="K8" s="35"/>
    </row>
    <row r="9" spans="1:11" ht="15.75" thickBot="1" x14ac:dyDescent="0.3">
      <c r="A9" s="25"/>
      <c r="B9" s="83"/>
      <c r="C9" s="6" t="s">
        <v>3</v>
      </c>
      <c r="D9" s="8">
        <f>E5+K5</f>
        <v>2972.0549999999998</v>
      </c>
      <c r="E9" s="34"/>
      <c r="F9" s="34"/>
      <c r="G9" s="34"/>
      <c r="H9" s="34"/>
      <c r="I9" s="34"/>
      <c r="J9" s="34"/>
      <c r="K9" s="35"/>
    </row>
    <row r="10" spans="1:11" ht="15.75" thickBot="1" x14ac:dyDescent="0.3">
      <c r="A10" s="38"/>
      <c r="B10" s="39"/>
      <c r="C10" s="39"/>
      <c r="D10" s="39"/>
      <c r="E10" s="39"/>
      <c r="F10" s="39"/>
      <c r="G10" s="39"/>
      <c r="H10" s="39"/>
      <c r="I10" s="39"/>
      <c r="J10" s="39"/>
      <c r="K10" s="40"/>
    </row>
  </sheetData>
  <sheetProtection password="C555" sheet="1" objects="1" scenarios="1" formatCells="0" formatColumns="0" formatRows="0" insertColumns="0" insertRows="0" insertHyperlinks="0" deleteColumns="0" deleteRows="0" sort="0" autoFilter="0" pivotTables="0"/>
  <mergeCells count="10">
    <mergeCell ref="I3:K3"/>
    <mergeCell ref="F3:H3"/>
    <mergeCell ref="C3:E3"/>
    <mergeCell ref="B3:B4"/>
    <mergeCell ref="B1:K1"/>
    <mergeCell ref="B7:B9"/>
    <mergeCell ref="K5:K6"/>
    <mergeCell ref="J5:J6"/>
    <mergeCell ref="I5:I6"/>
    <mergeCell ref="F5:H5"/>
  </mergeCells>
  <pageMargins left="0.7" right="0.7" top="0.75" bottom="0.75" header="0.3" footer="0.3"/>
  <pageSetup paperSize="9" scale="7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G11" sqref="G11"/>
    </sheetView>
  </sheetViews>
  <sheetFormatPr defaultRowHeight="15" x14ac:dyDescent="0.25"/>
  <cols>
    <col min="1" max="1" width="4.85546875" style="1" customWidth="1"/>
    <col min="2" max="2" width="14" style="2" bestFit="1" customWidth="1"/>
    <col min="3" max="11" width="11.5703125" style="2" customWidth="1"/>
    <col min="12" max="16384" width="9.140625" style="1"/>
  </cols>
  <sheetData>
    <row r="1" spans="1:11" x14ac:dyDescent="0.25">
      <c r="A1" s="24"/>
      <c r="B1" s="106" t="s">
        <v>11</v>
      </c>
      <c r="C1" s="106"/>
      <c r="D1" s="106"/>
      <c r="E1" s="106"/>
      <c r="F1" s="106"/>
      <c r="G1" s="106"/>
      <c r="H1" s="106"/>
      <c r="I1" s="106"/>
      <c r="J1" s="106"/>
      <c r="K1" s="107"/>
    </row>
    <row r="2" spans="1:11" ht="15.75" thickBot="1" x14ac:dyDescent="0.3">
      <c r="A2" s="25"/>
      <c r="B2" s="108"/>
      <c r="C2" s="108"/>
      <c r="D2" s="108"/>
      <c r="E2" s="108"/>
      <c r="F2" s="108"/>
      <c r="G2" s="108"/>
      <c r="H2" s="108"/>
      <c r="I2" s="108"/>
      <c r="J2" s="108"/>
      <c r="K2" s="109"/>
    </row>
    <row r="3" spans="1:11" x14ac:dyDescent="0.25">
      <c r="A3" s="25"/>
      <c r="B3" s="96"/>
      <c r="C3" s="93" t="s">
        <v>6</v>
      </c>
      <c r="D3" s="94"/>
      <c r="E3" s="95"/>
      <c r="F3" s="93" t="s">
        <v>7</v>
      </c>
      <c r="G3" s="94"/>
      <c r="H3" s="94"/>
      <c r="I3" s="93" t="s">
        <v>0</v>
      </c>
      <c r="J3" s="94"/>
      <c r="K3" s="95"/>
    </row>
    <row r="4" spans="1:11" ht="15.75" thickBot="1" x14ac:dyDescent="0.3">
      <c r="A4" s="25"/>
      <c r="B4" s="97"/>
      <c r="C4" s="28" t="s">
        <v>1</v>
      </c>
      <c r="D4" s="29" t="s">
        <v>2</v>
      </c>
      <c r="E4" s="30" t="s">
        <v>3</v>
      </c>
      <c r="F4" s="51" t="s">
        <v>1</v>
      </c>
      <c r="G4" s="52" t="s">
        <v>2</v>
      </c>
      <c r="H4" s="53" t="s">
        <v>3</v>
      </c>
      <c r="I4" s="28" t="s">
        <v>1</v>
      </c>
      <c r="J4" s="29" t="s">
        <v>2</v>
      </c>
      <c r="K4" s="30" t="s">
        <v>3</v>
      </c>
    </row>
    <row r="5" spans="1:11" ht="15" customHeight="1" x14ac:dyDescent="0.25">
      <c r="A5" s="103"/>
      <c r="B5" s="110" t="s">
        <v>17</v>
      </c>
      <c r="C5" s="9">
        <f>IF(G11&lt;300001,G10*G13*12,"-")</f>
        <v>17328.48</v>
      </c>
      <c r="D5" s="56">
        <f>C5/4</f>
        <v>4332.12</v>
      </c>
      <c r="E5" s="57">
        <f>C5/12</f>
        <v>1444.04</v>
      </c>
      <c r="F5" s="111"/>
      <c r="G5" s="112"/>
      <c r="H5" s="113"/>
      <c r="I5" s="120">
        <f>G10*G17*12</f>
        <v>3399.0479999999998</v>
      </c>
      <c r="J5" s="123">
        <f>I5/4</f>
        <v>849.76199999999994</v>
      </c>
      <c r="K5" s="100">
        <f>I5/12</f>
        <v>283.25399999999996</v>
      </c>
    </row>
    <row r="6" spans="1:11" ht="15.75" hidden="1" customHeight="1" thickBot="1" x14ac:dyDescent="0.3">
      <c r="A6" s="103"/>
      <c r="B6" s="104"/>
      <c r="C6" s="3">
        <f>IF(G11&lt;300001,G10*G14*12,"-")</f>
        <v>17328.48</v>
      </c>
      <c r="D6" s="7">
        <f>C6/4</f>
        <v>4332.12</v>
      </c>
      <c r="E6" s="50">
        <f>C6/12</f>
        <v>1444.04</v>
      </c>
      <c r="F6" s="114"/>
      <c r="G6" s="115"/>
      <c r="H6" s="116"/>
      <c r="I6" s="121"/>
      <c r="J6" s="124"/>
      <c r="K6" s="101"/>
    </row>
    <row r="7" spans="1:11" ht="15" customHeight="1" x14ac:dyDescent="0.25">
      <c r="A7" s="103"/>
      <c r="B7" s="104" t="s">
        <v>23</v>
      </c>
      <c r="C7" s="3">
        <f>IF(G11&gt;300000,G10*G13*12+((G11-300000)*1%),"-")</f>
        <v>17328.485000000001</v>
      </c>
      <c r="D7" s="4">
        <f>C7/4</f>
        <v>4332.1212500000001</v>
      </c>
      <c r="E7" s="49">
        <f>C7/12</f>
        <v>1444.0404166666667</v>
      </c>
      <c r="F7" s="114"/>
      <c r="G7" s="115"/>
      <c r="H7" s="116"/>
      <c r="I7" s="121"/>
      <c r="J7" s="124"/>
      <c r="K7" s="101"/>
    </row>
    <row r="8" spans="1:11" ht="15.75" hidden="1" customHeight="1" thickBot="1" x14ac:dyDescent="0.3">
      <c r="A8" s="103"/>
      <c r="B8" s="105"/>
      <c r="C8" s="58">
        <f>IF(G11&gt;300000,G10*G14*12+((G11-300000)*1%),"-")</f>
        <v>17328.485000000001</v>
      </c>
      <c r="D8" s="7">
        <f>C8/4</f>
        <v>4332.1212500000001</v>
      </c>
      <c r="E8" s="50">
        <f>C8/12</f>
        <v>1444.0404166666667</v>
      </c>
      <c r="F8" s="117"/>
      <c r="G8" s="118"/>
      <c r="H8" s="119"/>
      <c r="I8" s="122"/>
      <c r="J8" s="125"/>
      <c r="K8" s="102"/>
    </row>
    <row r="9" spans="1:11" ht="15.75" thickBot="1" x14ac:dyDescent="0.3">
      <c r="A9" s="25"/>
      <c r="B9" s="132" t="s">
        <v>14</v>
      </c>
      <c r="C9" s="3" t="s">
        <v>1</v>
      </c>
      <c r="D9" s="5">
        <f>C5+I5</f>
        <v>20727.527999999998</v>
      </c>
      <c r="E9" s="33"/>
      <c r="F9" s="34"/>
      <c r="G9" s="34"/>
      <c r="H9" s="34"/>
      <c r="I9" s="34"/>
      <c r="J9" s="34"/>
      <c r="K9" s="35"/>
    </row>
    <row r="10" spans="1:11" ht="15.75" thickBot="1" x14ac:dyDescent="0.3">
      <c r="A10" s="25"/>
      <c r="B10" s="132"/>
      <c r="C10" s="11" t="s">
        <v>2</v>
      </c>
      <c r="D10" s="12">
        <f>D5+J5</f>
        <v>5181.8819999999996</v>
      </c>
      <c r="E10" s="34"/>
      <c r="F10" s="36" t="s">
        <v>5</v>
      </c>
      <c r="G10" s="43">
        <v>5554</v>
      </c>
      <c r="H10" s="34"/>
      <c r="I10" s="34"/>
      <c r="J10" s="34"/>
      <c r="K10" s="35"/>
    </row>
    <row r="11" spans="1:11" ht="15.75" thickBot="1" x14ac:dyDescent="0.3">
      <c r="A11" s="25"/>
      <c r="B11" s="133"/>
      <c r="C11" s="6" t="s">
        <v>3</v>
      </c>
      <c r="D11" s="8">
        <f>E5+K5</f>
        <v>1727.2939999999999</v>
      </c>
      <c r="E11" s="34"/>
      <c r="F11" s="54" t="s">
        <v>12</v>
      </c>
      <c r="G11" s="55">
        <v>300000.5</v>
      </c>
      <c r="H11" s="34"/>
      <c r="I11" s="41"/>
      <c r="J11" s="34"/>
      <c r="K11" s="35"/>
    </row>
    <row r="12" spans="1:11" x14ac:dyDescent="0.25">
      <c r="A12" s="25"/>
      <c r="B12" s="134" t="s">
        <v>15</v>
      </c>
      <c r="C12" s="13" t="s">
        <v>1</v>
      </c>
      <c r="D12" s="14">
        <f>C7+I5</f>
        <v>20727.532999999999</v>
      </c>
      <c r="E12" s="26"/>
      <c r="F12" s="137" t="s">
        <v>18</v>
      </c>
      <c r="G12" s="137"/>
      <c r="H12" s="138"/>
      <c r="I12" s="26"/>
      <c r="J12" s="26"/>
      <c r="K12" s="27"/>
    </row>
    <row r="13" spans="1:11" ht="15" customHeight="1" x14ac:dyDescent="0.25">
      <c r="A13" s="25"/>
      <c r="B13" s="135"/>
      <c r="C13" s="15" t="s">
        <v>2</v>
      </c>
      <c r="D13" s="12">
        <f>D7+J5</f>
        <v>5181.8832499999999</v>
      </c>
      <c r="E13" s="26"/>
      <c r="F13" s="139" t="s">
        <v>19</v>
      </c>
      <c r="G13" s="44">
        <v>0.26</v>
      </c>
      <c r="H13" s="46" t="s">
        <v>8</v>
      </c>
      <c r="I13" s="140" t="s">
        <v>16</v>
      </c>
      <c r="J13" s="141"/>
      <c r="K13" s="142"/>
    </row>
    <row r="14" spans="1:11" ht="15.75" customHeight="1" thickBot="1" x14ac:dyDescent="0.3">
      <c r="A14" s="25"/>
      <c r="B14" s="136"/>
      <c r="C14" s="16" t="s">
        <v>3</v>
      </c>
      <c r="D14" s="17">
        <f>E7+K5</f>
        <v>1727.2944166666666</v>
      </c>
      <c r="E14" s="26"/>
      <c r="F14" s="139"/>
      <c r="G14" s="44">
        <v>0.26</v>
      </c>
      <c r="H14" s="46" t="s">
        <v>9</v>
      </c>
      <c r="I14" s="140"/>
      <c r="J14" s="141"/>
      <c r="K14" s="142"/>
    </row>
    <row r="15" spans="1:11" ht="15" customHeight="1" x14ac:dyDescent="0.25">
      <c r="A15" s="25"/>
      <c r="B15" s="146" t="s">
        <v>13</v>
      </c>
      <c r="C15" s="18" t="s">
        <v>1</v>
      </c>
      <c r="D15" s="19">
        <f>((8*G10)*0.26*12)+G10*0.051*12</f>
        <v>142026.88800000001</v>
      </c>
      <c r="E15" s="26"/>
      <c r="F15" s="139" t="s">
        <v>20</v>
      </c>
      <c r="G15" s="44">
        <v>0</v>
      </c>
      <c r="H15" s="46" t="s">
        <v>8</v>
      </c>
      <c r="I15" s="140"/>
      <c r="J15" s="141"/>
      <c r="K15" s="142"/>
    </row>
    <row r="16" spans="1:11" ht="15" customHeight="1" x14ac:dyDescent="0.25">
      <c r="A16" s="25"/>
      <c r="B16" s="147"/>
      <c r="C16" s="20" t="s">
        <v>2</v>
      </c>
      <c r="D16" s="21">
        <f>D15/4</f>
        <v>35506.722000000002</v>
      </c>
      <c r="E16" s="26"/>
      <c r="F16" s="139"/>
      <c r="G16" s="45">
        <v>0</v>
      </c>
      <c r="H16" s="47" t="s">
        <v>9</v>
      </c>
      <c r="I16" s="140"/>
      <c r="J16" s="141"/>
      <c r="K16" s="142"/>
    </row>
    <row r="17" spans="1:11" ht="15.75" customHeight="1" thickBot="1" x14ac:dyDescent="0.3">
      <c r="A17" s="38"/>
      <c r="B17" s="148"/>
      <c r="C17" s="22" t="s">
        <v>3</v>
      </c>
      <c r="D17" s="23">
        <f>D15/12</f>
        <v>11835.574000000001</v>
      </c>
      <c r="E17" s="42"/>
      <c r="F17" s="48" t="s">
        <v>21</v>
      </c>
      <c r="G17" s="149">
        <v>5.0999999999999997E-2</v>
      </c>
      <c r="H17" s="150"/>
      <c r="I17" s="143"/>
      <c r="J17" s="144"/>
      <c r="K17" s="145"/>
    </row>
    <row r="18" spans="1:11" x14ac:dyDescent="0.25">
      <c r="A18" s="126" t="s">
        <v>22</v>
      </c>
      <c r="B18" s="127"/>
      <c r="C18" s="127"/>
      <c r="D18" s="127"/>
      <c r="E18" s="127"/>
      <c r="F18" s="127"/>
      <c r="G18" s="127"/>
      <c r="H18" s="127"/>
      <c r="I18" s="127"/>
      <c r="J18" s="127"/>
      <c r="K18" s="128"/>
    </row>
    <row r="19" spans="1:11" ht="15.75" thickBot="1" x14ac:dyDescent="0.3">
      <c r="A19" s="129"/>
      <c r="B19" s="130"/>
      <c r="C19" s="130"/>
      <c r="D19" s="130"/>
      <c r="E19" s="130"/>
      <c r="F19" s="130"/>
      <c r="G19" s="130"/>
      <c r="H19" s="130"/>
      <c r="I19" s="130"/>
      <c r="J19" s="130"/>
      <c r="K19" s="131"/>
    </row>
  </sheetData>
  <sheetProtection password="C555" sheet="1" objects="1" scenarios="1" formatCells="0" formatColumns="0" formatRows="0" insertColumns="0" insertRows="0" insertHyperlinks="0" deleteColumns="0" deleteRows="0" sort="0" autoFilter="0" pivotTables="0"/>
  <mergeCells count="22">
    <mergeCell ref="A18:K19"/>
    <mergeCell ref="B9:B11"/>
    <mergeCell ref="B12:B14"/>
    <mergeCell ref="F12:H12"/>
    <mergeCell ref="F13:F14"/>
    <mergeCell ref="I13:K17"/>
    <mergeCell ref="B15:B17"/>
    <mergeCell ref="F15:F16"/>
    <mergeCell ref="G17:H17"/>
    <mergeCell ref="K5:K8"/>
    <mergeCell ref="A7:A8"/>
    <mergeCell ref="B7:B8"/>
    <mergeCell ref="B1:K2"/>
    <mergeCell ref="B3:B4"/>
    <mergeCell ref="C3:E3"/>
    <mergeCell ref="F3:H3"/>
    <mergeCell ref="I3:K3"/>
    <mergeCell ref="A5:A6"/>
    <mergeCell ref="B5:B6"/>
    <mergeCell ref="F5:H8"/>
    <mergeCell ref="I5:I8"/>
    <mergeCell ref="J5:J8"/>
  </mergeCells>
  <hyperlinks>
    <hyperlink ref="G10" r:id="rId1" display="http://www.bashinform.ru/news/583994"/>
    <hyperlink ref="B1:K2" r:id="rId2" display="Фиксированные платежи ИП в ПФР 2014 год"/>
  </hyperlinks>
  <pageMargins left="0.7" right="0.7" top="0.75" bottom="0.75" header="0.3" footer="0.3"/>
  <pageSetup paperSize="9" scale="70"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G11" sqref="G11"/>
    </sheetView>
  </sheetViews>
  <sheetFormatPr defaultRowHeight="15" x14ac:dyDescent="0.25"/>
  <cols>
    <col min="1" max="1" width="4.85546875" style="1" customWidth="1"/>
    <col min="2" max="2" width="14" style="2" bestFit="1" customWidth="1"/>
    <col min="3" max="11" width="11.5703125" style="2" customWidth="1"/>
    <col min="12" max="16384" width="9.140625" style="1"/>
  </cols>
  <sheetData>
    <row r="1" spans="1:11" x14ac:dyDescent="0.25">
      <c r="A1" s="24"/>
      <c r="B1" s="151" t="s">
        <v>24</v>
      </c>
      <c r="C1" s="151"/>
      <c r="D1" s="151"/>
      <c r="E1" s="151"/>
      <c r="F1" s="151"/>
      <c r="G1" s="151"/>
      <c r="H1" s="151"/>
      <c r="I1" s="151"/>
      <c r="J1" s="151"/>
      <c r="K1" s="151"/>
    </row>
    <row r="2" spans="1:11" ht="15.75" thickBot="1" x14ac:dyDescent="0.3">
      <c r="A2" s="25"/>
      <c r="B2" s="152"/>
      <c r="C2" s="152"/>
      <c r="D2" s="152"/>
      <c r="E2" s="152"/>
      <c r="F2" s="152"/>
      <c r="G2" s="152"/>
      <c r="H2" s="152"/>
      <c r="I2" s="152"/>
      <c r="J2" s="152"/>
      <c r="K2" s="152"/>
    </row>
    <row r="3" spans="1:11" x14ac:dyDescent="0.25">
      <c r="A3" s="25"/>
      <c r="B3" s="96"/>
      <c r="C3" s="93" t="s">
        <v>6</v>
      </c>
      <c r="D3" s="94"/>
      <c r="E3" s="95"/>
      <c r="F3" s="93" t="s">
        <v>7</v>
      </c>
      <c r="G3" s="94"/>
      <c r="H3" s="94"/>
      <c r="I3" s="93" t="s">
        <v>0</v>
      </c>
      <c r="J3" s="94"/>
      <c r="K3" s="95"/>
    </row>
    <row r="4" spans="1:11" ht="15.75" thickBot="1" x14ac:dyDescent="0.3">
      <c r="A4" s="25"/>
      <c r="B4" s="97"/>
      <c r="C4" s="28" t="s">
        <v>1</v>
      </c>
      <c r="D4" s="29" t="s">
        <v>2</v>
      </c>
      <c r="E4" s="30" t="s">
        <v>3</v>
      </c>
      <c r="F4" s="51" t="s">
        <v>1</v>
      </c>
      <c r="G4" s="52" t="s">
        <v>2</v>
      </c>
      <c r="H4" s="53" t="s">
        <v>3</v>
      </c>
      <c r="I4" s="28" t="s">
        <v>1</v>
      </c>
      <c r="J4" s="29" t="s">
        <v>2</v>
      </c>
      <c r="K4" s="30" t="s">
        <v>3</v>
      </c>
    </row>
    <row r="5" spans="1:11" ht="15" customHeight="1" x14ac:dyDescent="0.25">
      <c r="A5" s="103"/>
      <c r="B5" s="110" t="s">
        <v>17</v>
      </c>
      <c r="C5" s="9">
        <f>IF(G11&lt;300001,G10*G13*12,"-")</f>
        <v>18610.800000000003</v>
      </c>
      <c r="D5" s="56">
        <f>C5/4</f>
        <v>4652.7000000000007</v>
      </c>
      <c r="E5" s="57">
        <f>C5/12</f>
        <v>1550.9000000000003</v>
      </c>
      <c r="F5" s="111"/>
      <c r="G5" s="112"/>
      <c r="H5" s="113"/>
      <c r="I5" s="120">
        <f>G10*G17*12</f>
        <v>3650.58</v>
      </c>
      <c r="J5" s="123">
        <f>I5/4</f>
        <v>912.64499999999998</v>
      </c>
      <c r="K5" s="100">
        <f>I5/12</f>
        <v>304.21499999999997</v>
      </c>
    </row>
    <row r="6" spans="1:11" ht="15.75" hidden="1" customHeight="1" thickBot="1" x14ac:dyDescent="0.3">
      <c r="A6" s="103"/>
      <c r="B6" s="104"/>
      <c r="C6" s="3">
        <f>IF(G11&lt;300001,G10*G14*12,"-")</f>
        <v>18610.800000000003</v>
      </c>
      <c r="D6" s="7">
        <f>C6/4</f>
        <v>4652.7000000000007</v>
      </c>
      <c r="E6" s="50">
        <f>C6/12</f>
        <v>1550.9000000000003</v>
      </c>
      <c r="F6" s="114"/>
      <c r="G6" s="115"/>
      <c r="H6" s="116"/>
      <c r="I6" s="121"/>
      <c r="J6" s="124"/>
      <c r="K6" s="101"/>
    </row>
    <row r="7" spans="1:11" ht="15" customHeight="1" x14ac:dyDescent="0.25">
      <c r="A7" s="103"/>
      <c r="B7" s="104" t="s">
        <v>23</v>
      </c>
      <c r="C7" s="3">
        <f>IF(G11&gt;300000,G10*G13*12+((G11-300000)*1%),"-")</f>
        <v>18610.805000000004</v>
      </c>
      <c r="D7" s="4">
        <f>C7/4</f>
        <v>4652.701250000001</v>
      </c>
      <c r="E7" s="49">
        <f>C7/12</f>
        <v>1550.9004166666671</v>
      </c>
      <c r="F7" s="114"/>
      <c r="G7" s="115"/>
      <c r="H7" s="116"/>
      <c r="I7" s="121"/>
      <c r="J7" s="124"/>
      <c r="K7" s="101"/>
    </row>
    <row r="8" spans="1:11" ht="15.75" hidden="1" customHeight="1" thickBot="1" x14ac:dyDescent="0.3">
      <c r="A8" s="103"/>
      <c r="B8" s="105"/>
      <c r="C8" s="58">
        <f>IF(G11&gt;300000,G10*G14*12+((G11-300000)*1%),"-")</f>
        <v>18610.805000000004</v>
      </c>
      <c r="D8" s="7">
        <f>C8/4</f>
        <v>4652.701250000001</v>
      </c>
      <c r="E8" s="50">
        <f>C8/12</f>
        <v>1550.9004166666671</v>
      </c>
      <c r="F8" s="117"/>
      <c r="G8" s="118"/>
      <c r="H8" s="119"/>
      <c r="I8" s="122"/>
      <c r="J8" s="125"/>
      <c r="K8" s="102"/>
    </row>
    <row r="9" spans="1:11" ht="15.75" thickBot="1" x14ac:dyDescent="0.3">
      <c r="A9" s="25"/>
      <c r="B9" s="132" t="s">
        <v>14</v>
      </c>
      <c r="C9" s="3" t="s">
        <v>1</v>
      </c>
      <c r="D9" s="5">
        <f>C5+I5</f>
        <v>22261.380000000005</v>
      </c>
      <c r="E9" s="33"/>
      <c r="F9" s="34"/>
      <c r="G9" s="34"/>
      <c r="H9" s="34"/>
      <c r="I9" s="34"/>
      <c r="J9" s="34"/>
      <c r="K9" s="35"/>
    </row>
    <row r="10" spans="1:11" ht="15.75" thickBot="1" x14ac:dyDescent="0.3">
      <c r="A10" s="25"/>
      <c r="B10" s="132"/>
      <c r="C10" s="11" t="s">
        <v>2</v>
      </c>
      <c r="D10" s="12">
        <f>D5+J5</f>
        <v>5565.3450000000012</v>
      </c>
      <c r="E10" s="34"/>
      <c r="F10" s="36" t="s">
        <v>5</v>
      </c>
      <c r="G10" s="59">
        <v>5965</v>
      </c>
      <c r="H10" s="34"/>
      <c r="I10" s="34"/>
      <c r="J10" s="34"/>
      <c r="K10" s="35"/>
    </row>
    <row r="11" spans="1:11" ht="15.75" thickBot="1" x14ac:dyDescent="0.3">
      <c r="A11" s="25"/>
      <c r="B11" s="133"/>
      <c r="C11" s="6" t="s">
        <v>3</v>
      </c>
      <c r="D11" s="8">
        <f>E5+K5</f>
        <v>1855.1150000000002</v>
      </c>
      <c r="E11" s="34"/>
      <c r="F11" s="54" t="s">
        <v>12</v>
      </c>
      <c r="G11" s="55">
        <v>300000.5</v>
      </c>
      <c r="H11" s="34"/>
      <c r="I11" s="41"/>
      <c r="J11" s="34"/>
      <c r="K11" s="35"/>
    </row>
    <row r="12" spans="1:11" x14ac:dyDescent="0.25">
      <c r="A12" s="25"/>
      <c r="B12" s="134" t="s">
        <v>15</v>
      </c>
      <c r="C12" s="13" t="s">
        <v>1</v>
      </c>
      <c r="D12" s="14">
        <f>C7+I5</f>
        <v>22261.385000000002</v>
      </c>
      <c r="E12" s="26"/>
      <c r="F12" s="137" t="s">
        <v>18</v>
      </c>
      <c r="G12" s="137"/>
      <c r="H12" s="138"/>
      <c r="I12" s="26"/>
      <c r="J12" s="26"/>
      <c r="K12" s="27"/>
    </row>
    <row r="13" spans="1:11" ht="15" customHeight="1" x14ac:dyDescent="0.25">
      <c r="A13" s="25"/>
      <c r="B13" s="135"/>
      <c r="C13" s="15" t="s">
        <v>2</v>
      </c>
      <c r="D13" s="12">
        <f>D7+J5</f>
        <v>5565.3462500000005</v>
      </c>
      <c r="E13" s="26"/>
      <c r="F13" s="139" t="s">
        <v>19</v>
      </c>
      <c r="G13" s="44">
        <v>0.26</v>
      </c>
      <c r="H13" s="46" t="s">
        <v>8</v>
      </c>
      <c r="I13" s="140" t="s">
        <v>16</v>
      </c>
      <c r="J13" s="141"/>
      <c r="K13" s="142"/>
    </row>
    <row r="14" spans="1:11" ht="15.75" customHeight="1" thickBot="1" x14ac:dyDescent="0.3">
      <c r="A14" s="25"/>
      <c r="B14" s="136"/>
      <c r="C14" s="16" t="s">
        <v>3</v>
      </c>
      <c r="D14" s="17">
        <f>E7+K5</f>
        <v>1855.115416666667</v>
      </c>
      <c r="E14" s="26"/>
      <c r="F14" s="139"/>
      <c r="G14" s="44">
        <v>0.26</v>
      </c>
      <c r="H14" s="46" t="s">
        <v>9</v>
      </c>
      <c r="I14" s="140"/>
      <c r="J14" s="141"/>
      <c r="K14" s="142"/>
    </row>
    <row r="15" spans="1:11" ht="15" customHeight="1" x14ac:dyDescent="0.25">
      <c r="A15" s="25"/>
      <c r="B15" s="146" t="s">
        <v>13</v>
      </c>
      <c r="C15" s="18" t="s">
        <v>1</v>
      </c>
      <c r="D15" s="19">
        <f>((8*G10)*0.26*12)+G10*0.051*12</f>
        <v>152536.98000000001</v>
      </c>
      <c r="E15" s="26"/>
      <c r="F15" s="139" t="s">
        <v>20</v>
      </c>
      <c r="G15" s="44">
        <v>0</v>
      </c>
      <c r="H15" s="46" t="s">
        <v>8</v>
      </c>
      <c r="I15" s="140"/>
      <c r="J15" s="141"/>
      <c r="K15" s="142"/>
    </row>
    <row r="16" spans="1:11" ht="15" customHeight="1" x14ac:dyDescent="0.25">
      <c r="A16" s="25"/>
      <c r="B16" s="147"/>
      <c r="C16" s="20" t="s">
        <v>2</v>
      </c>
      <c r="D16" s="21">
        <f>D15/4</f>
        <v>38134.245000000003</v>
      </c>
      <c r="E16" s="26"/>
      <c r="F16" s="139"/>
      <c r="G16" s="45">
        <v>0</v>
      </c>
      <c r="H16" s="47" t="s">
        <v>9</v>
      </c>
      <c r="I16" s="140"/>
      <c r="J16" s="141"/>
      <c r="K16" s="142"/>
    </row>
    <row r="17" spans="1:11" ht="15.75" customHeight="1" thickBot="1" x14ac:dyDescent="0.3">
      <c r="A17" s="38"/>
      <c r="B17" s="148"/>
      <c r="C17" s="22" t="s">
        <v>3</v>
      </c>
      <c r="D17" s="23">
        <f>D15/12</f>
        <v>12711.415000000001</v>
      </c>
      <c r="E17" s="42"/>
      <c r="F17" s="48" t="s">
        <v>21</v>
      </c>
      <c r="G17" s="149">
        <v>5.0999999999999997E-2</v>
      </c>
      <c r="H17" s="150"/>
      <c r="I17" s="143"/>
      <c r="J17" s="144"/>
      <c r="K17" s="145"/>
    </row>
    <row r="18" spans="1:11" x14ac:dyDescent="0.25">
      <c r="A18" s="126" t="s">
        <v>22</v>
      </c>
      <c r="B18" s="127"/>
      <c r="C18" s="127"/>
      <c r="D18" s="127"/>
      <c r="E18" s="127"/>
      <c r="F18" s="127"/>
      <c r="G18" s="127"/>
      <c r="H18" s="127"/>
      <c r="I18" s="127"/>
      <c r="J18" s="127"/>
      <c r="K18" s="128"/>
    </row>
    <row r="19" spans="1:11" ht="15.75" thickBot="1" x14ac:dyDescent="0.3">
      <c r="A19" s="129"/>
      <c r="B19" s="130"/>
      <c r="C19" s="130"/>
      <c r="D19" s="130"/>
      <c r="E19" s="130"/>
      <c r="F19" s="130"/>
      <c r="G19" s="130"/>
      <c r="H19" s="130"/>
      <c r="I19" s="130"/>
      <c r="J19" s="130"/>
      <c r="K19" s="131"/>
    </row>
  </sheetData>
  <sheetProtection password="C555" sheet="1" objects="1" scenarios="1" formatCells="0" formatColumns="0" formatRows="0" insertColumns="0" insertRows="0" insertHyperlinks="0" deleteColumns="0" deleteRows="0" sort="0" autoFilter="0" pivotTables="0"/>
  <mergeCells count="22">
    <mergeCell ref="J5:J8"/>
    <mergeCell ref="B1:K2"/>
    <mergeCell ref="B3:B4"/>
    <mergeCell ref="C3:E3"/>
    <mergeCell ref="F3:H3"/>
    <mergeCell ref="I3:K3"/>
    <mergeCell ref="G17:H17"/>
    <mergeCell ref="A18:K19"/>
    <mergeCell ref="K5:K8"/>
    <mergeCell ref="A7:A8"/>
    <mergeCell ref="B7:B8"/>
    <mergeCell ref="B9:B11"/>
    <mergeCell ref="B12:B14"/>
    <mergeCell ref="F12:H12"/>
    <mergeCell ref="F13:F14"/>
    <mergeCell ref="I13:K17"/>
    <mergeCell ref="B15:B17"/>
    <mergeCell ref="F15:F16"/>
    <mergeCell ref="A5:A6"/>
    <mergeCell ref="B5:B6"/>
    <mergeCell ref="F5:H8"/>
    <mergeCell ref="I5:I8"/>
  </mergeCells>
  <pageMargins left="0.7" right="0.7" top="0.75" bottom="0.75" header="0.3" footer="0.3"/>
  <pageSetup paperSize="9"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G11" sqref="G11"/>
    </sheetView>
  </sheetViews>
  <sheetFormatPr defaultRowHeight="15" x14ac:dyDescent="0.25"/>
  <cols>
    <col min="1" max="1" width="4.85546875" style="1" customWidth="1"/>
    <col min="2" max="2" width="14" style="2" bestFit="1" customWidth="1"/>
    <col min="3" max="11" width="11.5703125" style="2" customWidth="1"/>
    <col min="12" max="16384" width="9.140625" style="1"/>
  </cols>
  <sheetData>
    <row r="1" spans="1:11" x14ac:dyDescent="0.25">
      <c r="A1" s="24"/>
      <c r="B1" s="151" t="s">
        <v>25</v>
      </c>
      <c r="C1" s="151"/>
      <c r="D1" s="151"/>
      <c r="E1" s="151"/>
      <c r="F1" s="151"/>
      <c r="G1" s="151"/>
      <c r="H1" s="151"/>
      <c r="I1" s="151"/>
      <c r="J1" s="151"/>
      <c r="K1" s="151"/>
    </row>
    <row r="2" spans="1:11" ht="15.75" thickBot="1" x14ac:dyDescent="0.3">
      <c r="A2" s="25"/>
      <c r="B2" s="152"/>
      <c r="C2" s="152"/>
      <c r="D2" s="152"/>
      <c r="E2" s="152"/>
      <c r="F2" s="152"/>
      <c r="G2" s="152"/>
      <c r="H2" s="152"/>
      <c r="I2" s="152"/>
      <c r="J2" s="152"/>
      <c r="K2" s="152"/>
    </row>
    <row r="3" spans="1:11" x14ac:dyDescent="0.25">
      <c r="A3" s="25"/>
      <c r="B3" s="96"/>
      <c r="C3" s="93" t="s">
        <v>6</v>
      </c>
      <c r="D3" s="94"/>
      <c r="E3" s="95"/>
      <c r="F3" s="93" t="s">
        <v>7</v>
      </c>
      <c r="G3" s="94"/>
      <c r="H3" s="94"/>
      <c r="I3" s="93" t="s">
        <v>0</v>
      </c>
      <c r="J3" s="94"/>
      <c r="K3" s="95"/>
    </row>
    <row r="4" spans="1:11" ht="15.75" thickBot="1" x14ac:dyDescent="0.3">
      <c r="A4" s="25"/>
      <c r="B4" s="97"/>
      <c r="C4" s="28" t="s">
        <v>1</v>
      </c>
      <c r="D4" s="29" t="s">
        <v>2</v>
      </c>
      <c r="E4" s="30" t="s">
        <v>3</v>
      </c>
      <c r="F4" s="51" t="s">
        <v>1</v>
      </c>
      <c r="G4" s="52" t="s">
        <v>2</v>
      </c>
      <c r="H4" s="53" t="s">
        <v>3</v>
      </c>
      <c r="I4" s="28" t="s">
        <v>1</v>
      </c>
      <c r="J4" s="29" t="s">
        <v>2</v>
      </c>
      <c r="K4" s="30" t="s">
        <v>3</v>
      </c>
    </row>
    <row r="5" spans="1:11" ht="15" customHeight="1" x14ac:dyDescent="0.25">
      <c r="A5" s="103"/>
      <c r="B5" s="110" t="s">
        <v>17</v>
      </c>
      <c r="C5" s="9">
        <f>IF(G11&lt;300001,G10*G13*12,"-")</f>
        <v>19356.48</v>
      </c>
      <c r="D5" s="56">
        <f>C5/4</f>
        <v>4839.12</v>
      </c>
      <c r="E5" s="57">
        <f>C5/12</f>
        <v>1613.04</v>
      </c>
      <c r="F5" s="111"/>
      <c r="G5" s="112"/>
      <c r="H5" s="113"/>
      <c r="I5" s="120">
        <f>G10*G17*12</f>
        <v>3796.848</v>
      </c>
      <c r="J5" s="123">
        <f>I5/4</f>
        <v>949.21199999999999</v>
      </c>
      <c r="K5" s="100">
        <f>I5/12</f>
        <v>316.404</v>
      </c>
    </row>
    <row r="6" spans="1:11" ht="15.75" hidden="1" customHeight="1" thickBot="1" x14ac:dyDescent="0.3">
      <c r="A6" s="103"/>
      <c r="B6" s="104"/>
      <c r="C6" s="3">
        <f>IF(G11&lt;300001,G10*G14*12,"-")</f>
        <v>19356.48</v>
      </c>
      <c r="D6" s="7">
        <f>C6/4</f>
        <v>4839.12</v>
      </c>
      <c r="E6" s="50">
        <f>C6/12</f>
        <v>1613.04</v>
      </c>
      <c r="F6" s="114"/>
      <c r="G6" s="115"/>
      <c r="H6" s="116"/>
      <c r="I6" s="121"/>
      <c r="J6" s="124"/>
      <c r="K6" s="101"/>
    </row>
    <row r="7" spans="1:11" ht="15" customHeight="1" x14ac:dyDescent="0.25">
      <c r="A7" s="103"/>
      <c r="B7" s="104" t="s">
        <v>23</v>
      </c>
      <c r="C7" s="3">
        <f>IF(G11&gt;300000,G10*G13*12+((G11-300000)*1%),"-")</f>
        <v>19356.485000000001</v>
      </c>
      <c r="D7" s="4">
        <f>C7/4</f>
        <v>4839.1212500000001</v>
      </c>
      <c r="E7" s="49">
        <f>C7/12</f>
        <v>1613.0404166666667</v>
      </c>
      <c r="F7" s="114"/>
      <c r="G7" s="115"/>
      <c r="H7" s="116"/>
      <c r="I7" s="121"/>
      <c r="J7" s="124"/>
      <c r="K7" s="101"/>
    </row>
    <row r="8" spans="1:11" ht="15.75" hidden="1" customHeight="1" thickBot="1" x14ac:dyDescent="0.3">
      <c r="A8" s="103"/>
      <c r="B8" s="105"/>
      <c r="C8" s="58">
        <f>IF(G11&gt;300000,G10*G14*12+((G11-300000)*1%),"-")</f>
        <v>19356.485000000001</v>
      </c>
      <c r="D8" s="7">
        <f>C8/4</f>
        <v>4839.1212500000001</v>
      </c>
      <c r="E8" s="50">
        <f>C8/12</f>
        <v>1613.0404166666667</v>
      </c>
      <c r="F8" s="117"/>
      <c r="G8" s="118"/>
      <c r="H8" s="119"/>
      <c r="I8" s="122"/>
      <c r="J8" s="125"/>
      <c r="K8" s="102"/>
    </row>
    <row r="9" spans="1:11" ht="15.75" thickBot="1" x14ac:dyDescent="0.3">
      <c r="A9" s="25"/>
      <c r="B9" s="132" t="s">
        <v>14</v>
      </c>
      <c r="C9" s="3" t="s">
        <v>1</v>
      </c>
      <c r="D9" s="5">
        <f>C5+I5</f>
        <v>23153.328000000001</v>
      </c>
      <c r="E9" s="33"/>
      <c r="F9" s="34"/>
      <c r="G9" s="34"/>
      <c r="H9" s="34"/>
      <c r="I9" s="34"/>
      <c r="J9" s="34"/>
      <c r="K9" s="35"/>
    </row>
    <row r="10" spans="1:11" ht="15.75" thickBot="1" x14ac:dyDescent="0.3">
      <c r="A10" s="25"/>
      <c r="B10" s="132"/>
      <c r="C10" s="11" t="s">
        <v>2</v>
      </c>
      <c r="D10" s="12">
        <f>D5+J5</f>
        <v>5788.3320000000003</v>
      </c>
      <c r="E10" s="34"/>
      <c r="F10" s="36" t="s">
        <v>5</v>
      </c>
      <c r="G10" s="59">
        <v>6204</v>
      </c>
      <c r="H10" s="34"/>
      <c r="I10" s="34"/>
      <c r="J10" s="34"/>
      <c r="K10" s="35"/>
    </row>
    <row r="11" spans="1:11" ht="15.75" thickBot="1" x14ac:dyDescent="0.3">
      <c r="A11" s="25"/>
      <c r="B11" s="133"/>
      <c r="C11" s="6" t="s">
        <v>3</v>
      </c>
      <c r="D11" s="8">
        <f>E5+K5</f>
        <v>1929.444</v>
      </c>
      <c r="E11" s="34"/>
      <c r="F11" s="54" t="s">
        <v>12</v>
      </c>
      <c r="G11" s="55">
        <v>300000.5</v>
      </c>
      <c r="H11" s="34"/>
      <c r="I11" s="41"/>
      <c r="J11" s="34"/>
      <c r="K11" s="35"/>
    </row>
    <row r="12" spans="1:11" x14ac:dyDescent="0.25">
      <c r="A12" s="25"/>
      <c r="B12" s="134" t="s">
        <v>15</v>
      </c>
      <c r="C12" s="13" t="s">
        <v>1</v>
      </c>
      <c r="D12" s="14">
        <f>C7+I5</f>
        <v>23153.332999999999</v>
      </c>
      <c r="E12" s="26"/>
      <c r="F12" s="137" t="s">
        <v>18</v>
      </c>
      <c r="G12" s="137"/>
      <c r="H12" s="138"/>
      <c r="I12" s="26"/>
      <c r="J12" s="26"/>
      <c r="K12" s="27"/>
    </row>
    <row r="13" spans="1:11" ht="15" customHeight="1" x14ac:dyDescent="0.25">
      <c r="A13" s="25"/>
      <c r="B13" s="135"/>
      <c r="C13" s="15" t="s">
        <v>2</v>
      </c>
      <c r="D13" s="12">
        <f>D7+J5</f>
        <v>5788.3332499999997</v>
      </c>
      <c r="E13" s="26"/>
      <c r="F13" s="139" t="s">
        <v>19</v>
      </c>
      <c r="G13" s="44">
        <v>0.26</v>
      </c>
      <c r="H13" s="46" t="s">
        <v>8</v>
      </c>
      <c r="I13" s="140" t="s">
        <v>16</v>
      </c>
      <c r="J13" s="141"/>
      <c r="K13" s="142"/>
    </row>
    <row r="14" spans="1:11" ht="15.75" customHeight="1" thickBot="1" x14ac:dyDescent="0.3">
      <c r="A14" s="25"/>
      <c r="B14" s="136"/>
      <c r="C14" s="16" t="s">
        <v>3</v>
      </c>
      <c r="D14" s="17">
        <f>E7+K5</f>
        <v>1929.4444166666667</v>
      </c>
      <c r="E14" s="26"/>
      <c r="F14" s="139"/>
      <c r="G14" s="44">
        <v>0.26</v>
      </c>
      <c r="H14" s="46" t="s">
        <v>9</v>
      </c>
      <c r="I14" s="140"/>
      <c r="J14" s="141"/>
      <c r="K14" s="142"/>
    </row>
    <row r="15" spans="1:11" ht="15" customHeight="1" x14ac:dyDescent="0.25">
      <c r="A15" s="25"/>
      <c r="B15" s="146" t="s">
        <v>13</v>
      </c>
      <c r="C15" s="18" t="s">
        <v>1</v>
      </c>
      <c r="D15" s="19">
        <f>((8*G10)*0.26*12)+G10*0.051*12</f>
        <v>158648.68799999999</v>
      </c>
      <c r="E15" s="26"/>
      <c r="F15" s="139" t="s">
        <v>20</v>
      </c>
      <c r="G15" s="44">
        <v>0</v>
      </c>
      <c r="H15" s="46" t="s">
        <v>8</v>
      </c>
      <c r="I15" s="140"/>
      <c r="J15" s="141"/>
      <c r="K15" s="142"/>
    </row>
    <row r="16" spans="1:11" ht="15" customHeight="1" x14ac:dyDescent="0.25">
      <c r="A16" s="25"/>
      <c r="B16" s="147"/>
      <c r="C16" s="20" t="s">
        <v>2</v>
      </c>
      <c r="D16" s="21">
        <f>D15/4</f>
        <v>39662.171999999999</v>
      </c>
      <c r="E16" s="26"/>
      <c r="F16" s="139"/>
      <c r="G16" s="45">
        <v>0</v>
      </c>
      <c r="H16" s="47" t="s">
        <v>9</v>
      </c>
      <c r="I16" s="140"/>
      <c r="J16" s="141"/>
      <c r="K16" s="142"/>
    </row>
    <row r="17" spans="1:11" ht="15.75" customHeight="1" thickBot="1" x14ac:dyDescent="0.3">
      <c r="A17" s="38"/>
      <c r="B17" s="148"/>
      <c r="C17" s="22" t="s">
        <v>3</v>
      </c>
      <c r="D17" s="23">
        <f>D15/12</f>
        <v>13220.724</v>
      </c>
      <c r="E17" s="42"/>
      <c r="F17" s="48" t="s">
        <v>21</v>
      </c>
      <c r="G17" s="149">
        <v>5.0999999999999997E-2</v>
      </c>
      <c r="H17" s="150"/>
      <c r="I17" s="143"/>
      <c r="J17" s="144"/>
      <c r="K17" s="145"/>
    </row>
    <row r="18" spans="1:11" x14ac:dyDescent="0.25">
      <c r="A18" s="126" t="s">
        <v>26</v>
      </c>
      <c r="B18" s="127"/>
      <c r="C18" s="127"/>
      <c r="D18" s="127"/>
      <c r="E18" s="127"/>
      <c r="F18" s="127"/>
      <c r="G18" s="127"/>
      <c r="H18" s="127"/>
      <c r="I18" s="127"/>
      <c r="J18" s="127"/>
      <c r="K18" s="128"/>
    </row>
    <row r="19" spans="1:11" ht="15.75" thickBot="1" x14ac:dyDescent="0.3">
      <c r="A19" s="129"/>
      <c r="B19" s="130"/>
      <c r="C19" s="130"/>
      <c r="D19" s="130"/>
      <c r="E19" s="130"/>
      <c r="F19" s="130"/>
      <c r="G19" s="130"/>
      <c r="H19" s="130"/>
      <c r="I19" s="130"/>
      <c r="J19" s="130"/>
      <c r="K19" s="131"/>
    </row>
  </sheetData>
  <sheetProtection password="C555" sheet="1" objects="1" scenarios="1" formatCells="0" formatColumns="0" formatRows="0" insertColumns="0" insertRows="0" insertHyperlinks="0" deleteColumns="0" deleteRows="0" sort="0" autoFilter="0" pivotTables="0"/>
  <mergeCells count="22">
    <mergeCell ref="G17:H17"/>
    <mergeCell ref="A18:K19"/>
    <mergeCell ref="K5:K8"/>
    <mergeCell ref="A7:A8"/>
    <mergeCell ref="B7:B8"/>
    <mergeCell ref="B9:B11"/>
    <mergeCell ref="B12:B14"/>
    <mergeCell ref="F12:H12"/>
    <mergeCell ref="F13:F14"/>
    <mergeCell ref="I13:K17"/>
    <mergeCell ref="B15:B17"/>
    <mergeCell ref="F15:F16"/>
    <mergeCell ref="A5:A6"/>
    <mergeCell ref="B5:B6"/>
    <mergeCell ref="F5:H8"/>
    <mergeCell ref="I5:I8"/>
    <mergeCell ref="J5:J8"/>
    <mergeCell ref="B1:K2"/>
    <mergeCell ref="B3:B4"/>
    <mergeCell ref="C3:E3"/>
    <mergeCell ref="F3:H3"/>
    <mergeCell ref="I3:K3"/>
  </mergeCells>
  <pageMargins left="0.7" right="0.7" top="0.75" bottom="0.75" header="0.3" footer="0.3"/>
  <pageSetup paperSize="9" scale="7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G11" sqref="G11"/>
    </sheetView>
  </sheetViews>
  <sheetFormatPr defaultRowHeight="15" x14ac:dyDescent="0.25"/>
  <cols>
    <col min="1" max="1" width="4.85546875" style="1" customWidth="1"/>
    <col min="2" max="2" width="14" style="2" bestFit="1" customWidth="1"/>
    <col min="3" max="11" width="11.5703125" style="2" customWidth="1"/>
    <col min="12" max="16384" width="9.140625" style="1"/>
  </cols>
  <sheetData>
    <row r="1" spans="1:11" x14ac:dyDescent="0.25">
      <c r="A1" s="24"/>
      <c r="B1" s="151" t="s">
        <v>27</v>
      </c>
      <c r="C1" s="151"/>
      <c r="D1" s="151"/>
      <c r="E1" s="151"/>
      <c r="F1" s="151"/>
      <c r="G1" s="151"/>
      <c r="H1" s="151"/>
      <c r="I1" s="151"/>
      <c r="J1" s="151"/>
      <c r="K1" s="151"/>
    </row>
    <row r="2" spans="1:11" ht="15.75" thickBot="1" x14ac:dyDescent="0.3">
      <c r="A2" s="25"/>
      <c r="B2" s="152"/>
      <c r="C2" s="152"/>
      <c r="D2" s="152"/>
      <c r="E2" s="152"/>
      <c r="F2" s="152"/>
      <c r="G2" s="152"/>
      <c r="H2" s="152"/>
      <c r="I2" s="152"/>
      <c r="J2" s="152"/>
      <c r="K2" s="152"/>
    </row>
    <row r="3" spans="1:11" x14ac:dyDescent="0.25">
      <c r="A3" s="25"/>
      <c r="B3" s="96"/>
      <c r="C3" s="93" t="s">
        <v>6</v>
      </c>
      <c r="D3" s="94"/>
      <c r="E3" s="95"/>
      <c r="F3" s="93" t="s">
        <v>7</v>
      </c>
      <c r="G3" s="94"/>
      <c r="H3" s="94"/>
      <c r="I3" s="93" t="s">
        <v>0</v>
      </c>
      <c r="J3" s="94"/>
      <c r="K3" s="95"/>
    </row>
    <row r="4" spans="1:11" ht="15.75" thickBot="1" x14ac:dyDescent="0.3">
      <c r="A4" s="25"/>
      <c r="B4" s="97"/>
      <c r="C4" s="28" t="s">
        <v>1</v>
      </c>
      <c r="D4" s="29" t="s">
        <v>2</v>
      </c>
      <c r="E4" s="30" t="s">
        <v>3</v>
      </c>
      <c r="F4" s="51" t="s">
        <v>1</v>
      </c>
      <c r="G4" s="52" t="s">
        <v>2</v>
      </c>
      <c r="H4" s="53" t="s">
        <v>3</v>
      </c>
      <c r="I4" s="28" t="s">
        <v>1</v>
      </c>
      <c r="J4" s="29" t="s">
        <v>2</v>
      </c>
      <c r="K4" s="30" t="s">
        <v>3</v>
      </c>
    </row>
    <row r="5" spans="1:11" ht="15" customHeight="1" x14ac:dyDescent="0.25">
      <c r="A5" s="103"/>
      <c r="B5" s="110" t="s">
        <v>17</v>
      </c>
      <c r="C5" s="9">
        <f>IF(G11&lt;300001,G10*G13*12,"-")</f>
        <v>23400</v>
      </c>
      <c r="D5" s="56">
        <f>C5/4</f>
        <v>5850</v>
      </c>
      <c r="E5" s="57">
        <f>C5/12</f>
        <v>1950</v>
      </c>
      <c r="F5" s="111"/>
      <c r="G5" s="112"/>
      <c r="H5" s="113"/>
      <c r="I5" s="120">
        <f>G10*G17*12</f>
        <v>4590</v>
      </c>
      <c r="J5" s="123">
        <f>I5/4</f>
        <v>1147.5</v>
      </c>
      <c r="K5" s="100">
        <f>I5/12</f>
        <v>382.5</v>
      </c>
    </row>
    <row r="6" spans="1:11" ht="15.75" hidden="1" customHeight="1" thickBot="1" x14ac:dyDescent="0.3">
      <c r="A6" s="103"/>
      <c r="B6" s="104"/>
      <c r="C6" s="3">
        <f>IF(G11&lt;300001,G10*G14*12,"-")</f>
        <v>23400</v>
      </c>
      <c r="D6" s="7">
        <f>C6/4</f>
        <v>5850</v>
      </c>
      <c r="E6" s="50">
        <f>C6/12</f>
        <v>1950</v>
      </c>
      <c r="F6" s="114"/>
      <c r="G6" s="115"/>
      <c r="H6" s="116"/>
      <c r="I6" s="121"/>
      <c r="J6" s="124"/>
      <c r="K6" s="101"/>
    </row>
    <row r="7" spans="1:11" ht="15" customHeight="1" x14ac:dyDescent="0.25">
      <c r="A7" s="103"/>
      <c r="B7" s="104" t="s">
        <v>23</v>
      </c>
      <c r="C7" s="3" t="str">
        <f>IF(G11&gt;300000,G10*G13*12+((G11-300000)*1%),"-")</f>
        <v>-</v>
      </c>
      <c r="D7" s="4" t="e">
        <f>C7/4</f>
        <v>#VALUE!</v>
      </c>
      <c r="E7" s="49" t="e">
        <f>C7/12</f>
        <v>#VALUE!</v>
      </c>
      <c r="F7" s="114"/>
      <c r="G7" s="115"/>
      <c r="H7" s="116"/>
      <c r="I7" s="121"/>
      <c r="J7" s="124"/>
      <c r="K7" s="101"/>
    </row>
    <row r="8" spans="1:11" ht="15.75" hidden="1" customHeight="1" thickBot="1" x14ac:dyDescent="0.3">
      <c r="A8" s="103"/>
      <c r="B8" s="105"/>
      <c r="C8" s="58" t="str">
        <f>IF(G11&gt;300000,G10*G14*12+((G11-300000)*1%),"-")</f>
        <v>-</v>
      </c>
      <c r="D8" s="7" t="e">
        <f>C8/4</f>
        <v>#VALUE!</v>
      </c>
      <c r="E8" s="50" t="e">
        <f>C8/12</f>
        <v>#VALUE!</v>
      </c>
      <c r="F8" s="117"/>
      <c r="G8" s="118"/>
      <c r="H8" s="119"/>
      <c r="I8" s="122"/>
      <c r="J8" s="125"/>
      <c r="K8" s="102"/>
    </row>
    <row r="9" spans="1:11" ht="15.75" thickBot="1" x14ac:dyDescent="0.3">
      <c r="A9" s="25"/>
      <c r="B9" s="132" t="s">
        <v>14</v>
      </c>
      <c r="C9" s="3" t="s">
        <v>1</v>
      </c>
      <c r="D9" s="5">
        <f>C5+I5</f>
        <v>27990</v>
      </c>
      <c r="E9" s="33"/>
      <c r="F9" s="34"/>
      <c r="G9" s="34"/>
      <c r="H9" s="34"/>
      <c r="I9" s="34"/>
      <c r="J9" s="34"/>
      <c r="K9" s="35"/>
    </row>
    <row r="10" spans="1:11" ht="15.75" thickBot="1" x14ac:dyDescent="0.3">
      <c r="A10" s="25"/>
      <c r="B10" s="132"/>
      <c r="C10" s="11" t="s">
        <v>2</v>
      </c>
      <c r="D10" s="12">
        <f>D5+J5</f>
        <v>6997.5</v>
      </c>
      <c r="E10" s="34"/>
      <c r="F10" s="36" t="s">
        <v>5</v>
      </c>
      <c r="G10" s="60">
        <v>7500</v>
      </c>
      <c r="H10" s="34"/>
      <c r="I10" s="34"/>
      <c r="J10" s="34"/>
      <c r="K10" s="35"/>
    </row>
    <row r="11" spans="1:11" ht="15.75" thickBot="1" x14ac:dyDescent="0.3">
      <c r="A11" s="25"/>
      <c r="B11" s="133"/>
      <c r="C11" s="6" t="s">
        <v>3</v>
      </c>
      <c r="D11" s="8">
        <f>E5+K5</f>
        <v>2332.5</v>
      </c>
      <c r="E11" s="34"/>
      <c r="F11" s="54" t="s">
        <v>12</v>
      </c>
      <c r="G11" s="55"/>
      <c r="H11" s="34"/>
      <c r="I11" s="41"/>
      <c r="J11" s="34"/>
      <c r="K11" s="35"/>
    </row>
    <row r="12" spans="1:11" x14ac:dyDescent="0.25">
      <c r="A12" s="25"/>
      <c r="B12" s="134" t="s">
        <v>15</v>
      </c>
      <c r="C12" s="13" t="s">
        <v>1</v>
      </c>
      <c r="D12" s="14" t="e">
        <f>C7+I5</f>
        <v>#VALUE!</v>
      </c>
      <c r="E12" s="26"/>
      <c r="F12" s="137" t="s">
        <v>18</v>
      </c>
      <c r="G12" s="137"/>
      <c r="H12" s="138"/>
      <c r="I12" s="26"/>
      <c r="J12" s="26"/>
      <c r="K12" s="27"/>
    </row>
    <row r="13" spans="1:11" ht="15" customHeight="1" x14ac:dyDescent="0.25">
      <c r="A13" s="25"/>
      <c r="B13" s="135"/>
      <c r="C13" s="15" t="s">
        <v>2</v>
      </c>
      <c r="D13" s="12" t="e">
        <f>D7+J5</f>
        <v>#VALUE!</v>
      </c>
      <c r="E13" s="26"/>
      <c r="F13" s="139" t="s">
        <v>19</v>
      </c>
      <c r="G13" s="44">
        <v>0.26</v>
      </c>
      <c r="H13" s="46" t="s">
        <v>8</v>
      </c>
      <c r="I13" s="140" t="s">
        <v>16</v>
      </c>
      <c r="J13" s="141"/>
      <c r="K13" s="142"/>
    </row>
    <row r="14" spans="1:11" ht="15.75" customHeight="1" thickBot="1" x14ac:dyDescent="0.3">
      <c r="A14" s="25"/>
      <c r="B14" s="136"/>
      <c r="C14" s="16" t="s">
        <v>3</v>
      </c>
      <c r="D14" s="17" t="e">
        <f>E7+K5</f>
        <v>#VALUE!</v>
      </c>
      <c r="E14" s="26"/>
      <c r="F14" s="139"/>
      <c r="G14" s="44">
        <v>0.26</v>
      </c>
      <c r="H14" s="46" t="s">
        <v>9</v>
      </c>
      <c r="I14" s="140"/>
      <c r="J14" s="141"/>
      <c r="K14" s="142"/>
    </row>
    <row r="15" spans="1:11" ht="15" customHeight="1" x14ac:dyDescent="0.25">
      <c r="A15" s="25"/>
      <c r="B15" s="146" t="s">
        <v>13</v>
      </c>
      <c r="C15" s="18" t="s">
        <v>1</v>
      </c>
      <c r="D15" s="19">
        <f>((8*G10)*0.26*12)+G10*0.051*12</f>
        <v>191790</v>
      </c>
      <c r="E15" s="26"/>
      <c r="F15" s="139" t="s">
        <v>20</v>
      </c>
      <c r="G15" s="44">
        <v>0</v>
      </c>
      <c r="H15" s="46" t="s">
        <v>8</v>
      </c>
      <c r="I15" s="140"/>
      <c r="J15" s="141"/>
      <c r="K15" s="142"/>
    </row>
    <row r="16" spans="1:11" ht="15" customHeight="1" x14ac:dyDescent="0.25">
      <c r="A16" s="25"/>
      <c r="B16" s="147"/>
      <c r="C16" s="20" t="s">
        <v>2</v>
      </c>
      <c r="D16" s="21">
        <f>D15/4</f>
        <v>47947.5</v>
      </c>
      <c r="E16" s="26"/>
      <c r="F16" s="139"/>
      <c r="G16" s="45">
        <v>0</v>
      </c>
      <c r="H16" s="47" t="s">
        <v>9</v>
      </c>
      <c r="I16" s="140"/>
      <c r="J16" s="141"/>
      <c r="K16" s="142"/>
    </row>
    <row r="17" spans="1:11" ht="15.75" customHeight="1" thickBot="1" x14ac:dyDescent="0.3">
      <c r="A17" s="38"/>
      <c r="B17" s="148"/>
      <c r="C17" s="22" t="s">
        <v>3</v>
      </c>
      <c r="D17" s="23">
        <f>D15/12</f>
        <v>15982.5</v>
      </c>
      <c r="E17" s="42"/>
      <c r="F17" s="48" t="s">
        <v>21</v>
      </c>
      <c r="G17" s="149">
        <v>5.0999999999999997E-2</v>
      </c>
      <c r="H17" s="150"/>
      <c r="I17" s="143"/>
      <c r="J17" s="144"/>
      <c r="K17" s="145"/>
    </row>
    <row r="18" spans="1:11" x14ac:dyDescent="0.25">
      <c r="A18" s="126" t="s">
        <v>26</v>
      </c>
      <c r="B18" s="127"/>
      <c r="C18" s="127"/>
      <c r="D18" s="127"/>
      <c r="E18" s="127"/>
      <c r="F18" s="127"/>
      <c r="G18" s="127"/>
      <c r="H18" s="127"/>
      <c r="I18" s="127"/>
      <c r="J18" s="127"/>
      <c r="K18" s="128"/>
    </row>
    <row r="19" spans="1:11" ht="15.75" thickBot="1" x14ac:dyDescent="0.3">
      <c r="A19" s="129"/>
      <c r="B19" s="130"/>
      <c r="C19" s="130"/>
      <c r="D19" s="130"/>
      <c r="E19" s="130"/>
      <c r="F19" s="130"/>
      <c r="G19" s="130"/>
      <c r="H19" s="130"/>
      <c r="I19" s="130"/>
      <c r="J19" s="130"/>
      <c r="K19" s="131"/>
    </row>
  </sheetData>
  <sheetProtection password="C555" sheet="1" objects="1" scenarios="1" formatCells="0" formatColumns="0" formatRows="0" insertColumns="0" insertRows="0" insertHyperlinks="0" deleteColumns="0" deleteRows="0" sort="0" autoFilter="0" pivotTables="0"/>
  <mergeCells count="22">
    <mergeCell ref="G17:H17"/>
    <mergeCell ref="A18:K19"/>
    <mergeCell ref="K5:K8"/>
    <mergeCell ref="A7:A8"/>
    <mergeCell ref="B7:B8"/>
    <mergeCell ref="B9:B11"/>
    <mergeCell ref="B12:B14"/>
    <mergeCell ref="F12:H12"/>
    <mergeCell ref="F13:F14"/>
    <mergeCell ref="I13:K17"/>
    <mergeCell ref="B15:B17"/>
    <mergeCell ref="F15:F16"/>
    <mergeCell ref="A5:A6"/>
    <mergeCell ref="B5:B6"/>
    <mergeCell ref="F5:H8"/>
    <mergeCell ref="I5:I8"/>
    <mergeCell ref="J5:J8"/>
    <mergeCell ref="B1:K2"/>
    <mergeCell ref="B3:B4"/>
    <mergeCell ref="C3:E3"/>
    <mergeCell ref="F3:H3"/>
    <mergeCell ref="I3:K3"/>
  </mergeCells>
  <pageMargins left="0.7" right="0.7" top="0.75" bottom="0.75" header="0.3" footer="0.3"/>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15.140625" style="64" hidden="1" customWidth="1"/>
    <col min="14" max="14" width="13.28515625" style="65" hidden="1" customWidth="1"/>
    <col min="15" max="15" width="0" style="64" hidden="1" customWidth="1"/>
    <col min="16" max="16384" width="9.140625" style="64"/>
  </cols>
  <sheetData>
    <row r="1" spans="1:15" ht="15" customHeight="1" x14ac:dyDescent="0.25">
      <c r="A1" s="24"/>
      <c r="B1" s="171" t="str">
        <f>CONCATENATE("Фиксированные платежи ИП в ПФР ",O2," год")</f>
        <v>Фиксированные платежи ИП в ПФР 2018 год</v>
      </c>
      <c r="C1" s="171"/>
      <c r="D1" s="171"/>
      <c r="E1" s="171"/>
      <c r="F1" s="171"/>
      <c r="G1" s="171"/>
      <c r="H1" s="171"/>
      <c r="I1" s="171"/>
      <c r="J1" s="171"/>
      <c r="K1" s="171"/>
    </row>
    <row r="2" spans="1:15" ht="15.75" customHeight="1" thickBot="1" x14ac:dyDescent="0.3">
      <c r="A2" s="25"/>
      <c r="B2" s="172"/>
      <c r="C2" s="172"/>
      <c r="D2" s="172"/>
      <c r="E2" s="172"/>
      <c r="F2" s="172"/>
      <c r="G2" s="172"/>
      <c r="H2" s="172"/>
      <c r="I2" s="172"/>
      <c r="J2" s="172"/>
      <c r="K2" s="172"/>
      <c r="M2" s="170" t="s">
        <v>31</v>
      </c>
      <c r="N2" s="170"/>
      <c r="O2" s="64">
        <v>2018</v>
      </c>
    </row>
    <row r="3" spans="1:15" x14ac:dyDescent="0.25">
      <c r="A3" s="25"/>
      <c r="B3" s="96"/>
      <c r="C3" s="93" t="s">
        <v>6</v>
      </c>
      <c r="D3" s="94"/>
      <c r="E3" s="95"/>
      <c r="F3" s="93" t="s">
        <v>7</v>
      </c>
      <c r="G3" s="94"/>
      <c r="H3" s="94"/>
      <c r="I3" s="93" t="s">
        <v>0</v>
      </c>
      <c r="J3" s="94"/>
      <c r="K3" s="95"/>
      <c r="M3" s="67" t="s">
        <v>29</v>
      </c>
      <c r="N3" s="68">
        <v>26545</v>
      </c>
    </row>
    <row r="4" spans="1:15" ht="15.75" thickBot="1" x14ac:dyDescent="0.3">
      <c r="A4" s="25"/>
      <c r="B4" s="97"/>
      <c r="C4" s="28" t="s">
        <v>1</v>
      </c>
      <c r="D4" s="29" t="s">
        <v>2</v>
      </c>
      <c r="E4" s="30" t="s">
        <v>3</v>
      </c>
      <c r="F4" s="51" t="s">
        <v>1</v>
      </c>
      <c r="G4" s="52" t="s">
        <v>2</v>
      </c>
      <c r="H4" s="53" t="s">
        <v>3</v>
      </c>
      <c r="I4" s="28" t="s">
        <v>1</v>
      </c>
      <c r="J4" s="29" t="s">
        <v>2</v>
      </c>
      <c r="K4" s="30" t="s">
        <v>3</v>
      </c>
      <c r="M4" s="62" t="s">
        <v>30</v>
      </c>
      <c r="N4" s="68">
        <v>0</v>
      </c>
    </row>
    <row r="5" spans="1:15" ht="15" customHeight="1" x14ac:dyDescent="0.25">
      <c r="A5" s="103"/>
      <c r="B5" s="110" t="s">
        <v>17</v>
      </c>
      <c r="C5" s="9">
        <f>IF(G11&lt;300000.01,N3,0)</f>
        <v>26545</v>
      </c>
      <c r="D5" s="56">
        <f>C5/4</f>
        <v>6636.25</v>
      </c>
      <c r="E5" s="57">
        <f>C5/12</f>
        <v>2212.0833333333335</v>
      </c>
      <c r="F5" s="111"/>
      <c r="G5" s="112"/>
      <c r="H5" s="113"/>
      <c r="I5" s="120">
        <f>N5</f>
        <v>5840</v>
      </c>
      <c r="J5" s="123">
        <f>I5/4</f>
        <v>1460</v>
      </c>
      <c r="K5" s="100">
        <f>I5/12</f>
        <v>486.66666666666669</v>
      </c>
      <c r="M5" s="67" t="s">
        <v>21</v>
      </c>
      <c r="N5" s="68">
        <v>5840</v>
      </c>
    </row>
    <row r="6" spans="1:15" ht="15.75" hidden="1" customHeight="1" thickBot="1" x14ac:dyDescent="0.3">
      <c r="A6" s="103"/>
      <c r="B6" s="104"/>
      <c r="C6" s="3" t="e">
        <f>IF(G11&lt;300001,G10*G14*12,"-")</f>
        <v>#VALUE!</v>
      </c>
      <c r="D6" s="7" t="e">
        <f>C6/4</f>
        <v>#VALUE!</v>
      </c>
      <c r="E6" s="50" t="e">
        <f>C6/12</f>
        <v>#VALUE!</v>
      </c>
      <c r="F6" s="114"/>
      <c r="G6" s="115"/>
      <c r="H6" s="116"/>
      <c r="I6" s="121"/>
      <c r="J6" s="124"/>
      <c r="K6" s="101"/>
    </row>
    <row r="7" spans="1:15" ht="15" customHeight="1" x14ac:dyDescent="0.25">
      <c r="A7" s="103"/>
      <c r="B7" s="104" t="s">
        <v>23</v>
      </c>
      <c r="C7" s="3">
        <f>IF(G11&gt;300000,N3+((G11-300000)/100*1),0)</f>
        <v>0</v>
      </c>
      <c r="D7" s="4">
        <f>C7/4</f>
        <v>0</v>
      </c>
      <c r="E7" s="49">
        <f>C7/12</f>
        <v>0</v>
      </c>
      <c r="F7" s="114"/>
      <c r="G7" s="115"/>
      <c r="H7" s="116"/>
      <c r="I7" s="121"/>
      <c r="J7" s="124"/>
      <c r="K7" s="101"/>
      <c r="M7" s="69" t="s">
        <v>32</v>
      </c>
      <c r="N7" s="68">
        <f>(N3*8)+N5</f>
        <v>218200</v>
      </c>
    </row>
    <row r="8" spans="1:15" ht="15.75" hidden="1" customHeight="1" thickBot="1" x14ac:dyDescent="0.3">
      <c r="A8" s="103"/>
      <c r="B8" s="105"/>
      <c r="C8" s="58" t="str">
        <f>IF(G11&gt;300000,G10*G14*12+((G11-300000)*1%),"-")</f>
        <v>-</v>
      </c>
      <c r="D8" s="7" t="e">
        <f>C8/4</f>
        <v>#VALUE!</v>
      </c>
      <c r="E8" s="50" t="e">
        <f>C8/12</f>
        <v>#VALUE!</v>
      </c>
      <c r="F8" s="117"/>
      <c r="G8" s="118"/>
      <c r="H8" s="119"/>
      <c r="I8" s="122"/>
      <c r="J8" s="125"/>
      <c r="K8" s="102"/>
    </row>
    <row r="9" spans="1:15" ht="15.75" thickBot="1" x14ac:dyDescent="0.3">
      <c r="A9" s="25"/>
      <c r="B9" s="132" t="s">
        <v>14</v>
      </c>
      <c r="C9" s="3" t="s">
        <v>1</v>
      </c>
      <c r="D9" s="5">
        <f>IF(G11&lt;300000,C5+I5,0)</f>
        <v>32385</v>
      </c>
      <c r="E9" s="33"/>
      <c r="F9" s="34"/>
      <c r="G9" s="34"/>
      <c r="H9" s="34"/>
      <c r="I9" s="34"/>
      <c r="J9" s="34"/>
      <c r="K9" s="35"/>
      <c r="M9" s="69" t="s">
        <v>34</v>
      </c>
      <c r="N9" s="68">
        <f>((N7-N5-N3)*100)+300000</f>
        <v>18881500</v>
      </c>
    </row>
    <row r="10" spans="1:15" ht="15.75" thickBot="1" x14ac:dyDescent="0.3">
      <c r="A10" s="25"/>
      <c r="B10" s="132"/>
      <c r="C10" s="11" t="s">
        <v>2</v>
      </c>
      <c r="D10" s="12">
        <f>D9/4</f>
        <v>8096.25</v>
      </c>
      <c r="E10" s="34"/>
      <c r="F10" s="36" t="s">
        <v>5</v>
      </c>
      <c r="G10" s="71" t="s">
        <v>28</v>
      </c>
      <c r="H10" s="34"/>
      <c r="I10" s="34"/>
      <c r="J10" s="34"/>
      <c r="K10" s="35"/>
      <c r="M10" s="67" t="s">
        <v>41</v>
      </c>
      <c r="N10" s="68">
        <f>IF(G11&gt;N9,G11-N9,N9-G11)</f>
        <v>18881500</v>
      </c>
    </row>
    <row r="11" spans="1:15" ht="15.75" thickBot="1" x14ac:dyDescent="0.3">
      <c r="A11" s="25"/>
      <c r="B11" s="133"/>
      <c r="C11" s="6" t="s">
        <v>3</v>
      </c>
      <c r="D11" s="8">
        <f>D9/12</f>
        <v>2698.75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5" x14ac:dyDescent="0.25">
      <c r="A12" s="25"/>
      <c r="B12" s="134" t="s">
        <v>15</v>
      </c>
      <c r="C12" s="13" t="s">
        <v>1</v>
      </c>
      <c r="D12" s="14">
        <f>IF(C7=0,0,IF(C7+I5&gt;N7,N7,C7+I5))</f>
        <v>0</v>
      </c>
      <c r="E12" s="26"/>
      <c r="F12" s="162" t="s">
        <v>18</v>
      </c>
      <c r="G12" s="162"/>
      <c r="H12" s="163"/>
      <c r="I12" s="26"/>
      <c r="J12" s="26"/>
      <c r="K12" s="27"/>
    </row>
    <row r="13" spans="1:15"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5" ht="15.75" customHeight="1" thickBot="1" x14ac:dyDescent="0.3">
      <c r="A14" s="25"/>
      <c r="B14" s="136"/>
      <c r="C14" s="16" t="s">
        <v>3</v>
      </c>
      <c r="D14" s="17">
        <f>D12/12</f>
        <v>0</v>
      </c>
      <c r="E14" s="26"/>
      <c r="F14" s="139"/>
      <c r="G14" s="44" t="str">
        <f>G10</f>
        <v>не используется</v>
      </c>
      <c r="H14" s="46" t="s">
        <v>9</v>
      </c>
      <c r="I14" s="164"/>
      <c r="J14" s="165"/>
      <c r="K14" s="166"/>
    </row>
    <row r="15" spans="1:15" ht="15" customHeight="1" thickBot="1" x14ac:dyDescent="0.3">
      <c r="A15" s="25"/>
      <c r="B15" s="146" t="s">
        <v>13</v>
      </c>
      <c r="C15" s="18" t="str">
        <f>IF(D15="ошибка расчета","-------&gt;",C12)</f>
        <v>-------&gt;</v>
      </c>
      <c r="D15" s="19" t="str">
        <f>IF(G11=0,IF(C5*8&lt;N7,"ошибка расчета",IF(C5*8&gt;N7,"ошибка расчета",C5*8)),0)</f>
        <v>ошибка расчета</v>
      </c>
      <c r="E15" s="26"/>
      <c r="F15" s="139" t="s">
        <v>20</v>
      </c>
      <c r="G15" s="44" t="str">
        <f>G10</f>
        <v>не используется</v>
      </c>
      <c r="H15" s="46" t="s">
        <v>8</v>
      </c>
      <c r="I15" s="164"/>
      <c r="J15" s="165"/>
      <c r="K15" s="166"/>
    </row>
    <row r="16" spans="1:15" ht="15" customHeight="1" thickBot="1" x14ac:dyDescent="0.3">
      <c r="A16" s="25"/>
      <c r="B16" s="147"/>
      <c r="C16" s="18" t="str">
        <f>IF(D15="ошибка расчета","-------&gt;",C13)</f>
        <v>-------&gt;</v>
      </c>
      <c r="D16" s="21" t="str">
        <f>IF(D15="ошибка расчета","необходимо проверить",D15/4)</f>
        <v>необходимо проверить</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-------&gt;</v>
      </c>
      <c r="D17" s="23" t="str">
        <f>IF(D15="ошибка расчета","ставки за год",D15/12)</f>
        <v>ставки за год</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28.5"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Страховая часть фикированного платежа ",N3," руб."," Размер ФФОМС ",N5," руб."," Максимальный размер фиксированногоплатежа ",N7," руб."," Максимальный размер будет достигрут при доходе ",N9," руб.",N11,N10," руб.",M11)</f>
        <v xml:space="preserve">СПРАВОЧНО!!! Ставки за год 2018 !!!!! Страховая часть фикированного платежа 26545 руб. Размер ФФОМС 5840 руб. Максимальный размер фиксированногоплатежа 218200 руб. Максимальный размер будет достигрут при доходе 18881500 руб. До предельного дохода осталось 18881500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I13:K17"/>
    <mergeCell ref="B15:B17"/>
    <mergeCell ref="F15:F16"/>
    <mergeCell ref="M2:N2"/>
    <mergeCell ref="B1:K2"/>
    <mergeCell ref="B3:B4"/>
    <mergeCell ref="C3:E3"/>
    <mergeCell ref="F3:H3"/>
    <mergeCell ref="I3:K3"/>
    <mergeCell ref="B25:K42"/>
    <mergeCell ref="F5:H8"/>
    <mergeCell ref="I5:I8"/>
    <mergeCell ref="J5:J8"/>
    <mergeCell ref="B20:K22"/>
    <mergeCell ref="G17:H17"/>
    <mergeCell ref="A18:K19"/>
    <mergeCell ref="K5:K8"/>
    <mergeCell ref="A7:A8"/>
    <mergeCell ref="B7:B8"/>
    <mergeCell ref="A5:A6"/>
    <mergeCell ref="B5:B6"/>
    <mergeCell ref="B9:B11"/>
    <mergeCell ref="B12:B14"/>
    <mergeCell ref="F12:H12"/>
    <mergeCell ref="F13:F14"/>
  </mergeCells>
  <hyperlinks>
    <hyperlink ref="G10" r:id="rId1"/>
  </hyperlinks>
  <pageMargins left="0.7" right="0.7" top="0.75" bottom="0.75" header="0.3" footer="0.3"/>
  <pageSetup paperSize="9" scale="68"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15.140625" style="64" hidden="1" customWidth="1"/>
    <col min="14" max="14" width="16.28515625" style="65" hidden="1" customWidth="1"/>
    <col min="15" max="15" width="12.5703125" style="64" hidden="1" customWidth="1"/>
    <col min="16" max="17" width="10" style="64" bestFit="1" customWidth="1"/>
    <col min="18" max="16384" width="9.140625" style="64"/>
  </cols>
  <sheetData>
    <row r="1" spans="1:16" x14ac:dyDescent="0.25">
      <c r="A1" s="24"/>
      <c r="B1" s="171" t="str">
        <f>CONCATENATE("Фиксированные платежи ИП в ПФР ",O2," год")</f>
        <v>Фиксированные платежи ИП в ПФР 2019 год</v>
      </c>
      <c r="C1" s="171"/>
      <c r="D1" s="171"/>
      <c r="E1" s="171"/>
      <c r="F1" s="171"/>
      <c r="G1" s="171"/>
      <c r="H1" s="171"/>
      <c r="I1" s="171"/>
      <c r="J1" s="171"/>
      <c r="K1" s="171"/>
      <c r="O1" s="64" t="s">
        <v>35</v>
      </c>
    </row>
    <row r="2" spans="1:16" ht="15.75" thickBot="1" x14ac:dyDescent="0.3">
      <c r="A2" s="25"/>
      <c r="B2" s="172"/>
      <c r="C2" s="172"/>
      <c r="D2" s="172"/>
      <c r="E2" s="172"/>
      <c r="F2" s="172"/>
      <c r="G2" s="172"/>
      <c r="H2" s="172"/>
      <c r="I2" s="172"/>
      <c r="J2" s="172"/>
      <c r="K2" s="172"/>
      <c r="M2" s="170" t="s">
        <v>31</v>
      </c>
      <c r="N2" s="170"/>
      <c r="O2" s="66">
        <v>2019</v>
      </c>
    </row>
    <row r="3" spans="1:16" x14ac:dyDescent="0.25">
      <c r="A3" s="25"/>
      <c r="B3" s="96"/>
      <c r="C3" s="93" t="s">
        <v>6</v>
      </c>
      <c r="D3" s="94"/>
      <c r="E3" s="95"/>
      <c r="F3" s="93" t="s">
        <v>7</v>
      </c>
      <c r="G3" s="94"/>
      <c r="H3" s="94"/>
      <c r="I3" s="93" t="s">
        <v>0</v>
      </c>
      <c r="J3" s="94"/>
      <c r="K3" s="95"/>
      <c r="M3" s="67" t="s">
        <v>29</v>
      </c>
      <c r="N3" s="68">
        <v>29354</v>
      </c>
    </row>
    <row r="4" spans="1:16" ht="15.75" thickBot="1" x14ac:dyDescent="0.3">
      <c r="A4" s="25"/>
      <c r="B4" s="97"/>
      <c r="C4" s="28" t="s">
        <v>1</v>
      </c>
      <c r="D4" s="29" t="s">
        <v>2</v>
      </c>
      <c r="E4" s="30" t="s">
        <v>3</v>
      </c>
      <c r="F4" s="51" t="s">
        <v>1</v>
      </c>
      <c r="G4" s="52" t="s">
        <v>2</v>
      </c>
      <c r="H4" s="53" t="s">
        <v>3</v>
      </c>
      <c r="I4" s="28" t="s">
        <v>1</v>
      </c>
      <c r="J4" s="29" t="s">
        <v>2</v>
      </c>
      <c r="K4" s="30" t="s">
        <v>3</v>
      </c>
      <c r="M4" s="62" t="s">
        <v>30</v>
      </c>
      <c r="N4" s="68">
        <v>0</v>
      </c>
    </row>
    <row r="5" spans="1:16" ht="15" customHeight="1" x14ac:dyDescent="0.25">
      <c r="A5" s="103"/>
      <c r="B5" s="110" t="s">
        <v>17</v>
      </c>
      <c r="C5" s="9">
        <f>IF(G11&lt;300000.01,N3,0)</f>
        <v>29354</v>
      </c>
      <c r="D5" s="56">
        <f>C5/4</f>
        <v>7338.5</v>
      </c>
      <c r="E5" s="57">
        <f>C5/12</f>
        <v>2446.1666666666665</v>
      </c>
      <c r="F5" s="111"/>
      <c r="G5" s="112"/>
      <c r="H5" s="113"/>
      <c r="I5" s="120">
        <f>N5</f>
        <v>6884</v>
      </c>
      <c r="J5" s="123">
        <f>I5/4</f>
        <v>1721</v>
      </c>
      <c r="K5" s="100">
        <f>I5/12</f>
        <v>573.66666666666663</v>
      </c>
      <c r="M5" s="67" t="s">
        <v>21</v>
      </c>
      <c r="N5" s="68">
        <v>6884</v>
      </c>
    </row>
    <row r="6" spans="1:16" ht="15.75" hidden="1" customHeight="1" thickBot="1" x14ac:dyDescent="0.3">
      <c r="A6" s="103"/>
      <c r="B6" s="104"/>
      <c r="C6" s="3" t="e">
        <f>IF(G11&lt;300001,G10*G14*12,"-")</f>
        <v>#VALUE!</v>
      </c>
      <c r="D6" s="7" t="e">
        <f>C6/4</f>
        <v>#VALUE!</v>
      </c>
      <c r="E6" s="50" t="e">
        <f>C6/12</f>
        <v>#VALUE!</v>
      </c>
      <c r="F6" s="114"/>
      <c r="G6" s="115"/>
      <c r="H6" s="116"/>
      <c r="I6" s="121"/>
      <c r="J6" s="124"/>
      <c r="K6" s="101"/>
    </row>
    <row r="7" spans="1:16" ht="15" customHeight="1" x14ac:dyDescent="0.25">
      <c r="A7" s="103"/>
      <c r="B7" s="104" t="s">
        <v>23</v>
      </c>
      <c r="C7" s="3">
        <f>IF(G11&gt;300000,N3+((G11-300000)/100*1),0)</f>
        <v>0</v>
      </c>
      <c r="D7" s="4">
        <f>C7/4</f>
        <v>0</v>
      </c>
      <c r="E7" s="49">
        <f>C7/12</f>
        <v>0</v>
      </c>
      <c r="F7" s="114"/>
      <c r="G7" s="115"/>
      <c r="H7" s="116"/>
      <c r="I7" s="121"/>
      <c r="J7" s="124"/>
      <c r="K7" s="101"/>
      <c r="M7" s="69" t="s">
        <v>32</v>
      </c>
      <c r="N7" s="68">
        <f>(N3*8)+N5</f>
        <v>241716</v>
      </c>
      <c r="P7" s="70"/>
    </row>
    <row r="8" spans="1:16" ht="15.75" hidden="1" customHeight="1" thickBot="1" x14ac:dyDescent="0.3">
      <c r="A8" s="103"/>
      <c r="B8" s="105"/>
      <c r="C8" s="58" t="str">
        <f>IF(G11&gt;300000,G10*G14*12+((G11-300000)*1%),"-")</f>
        <v>-</v>
      </c>
      <c r="D8" s="7" t="e">
        <f>C8/4</f>
        <v>#VALUE!</v>
      </c>
      <c r="E8" s="50" t="e">
        <f>C8/12</f>
        <v>#VALUE!</v>
      </c>
      <c r="F8" s="117"/>
      <c r="G8" s="118"/>
      <c r="H8" s="119"/>
      <c r="I8" s="122"/>
      <c r="J8" s="125"/>
      <c r="K8" s="102"/>
    </row>
    <row r="9" spans="1:16" ht="15.75" thickBot="1" x14ac:dyDescent="0.3">
      <c r="A9" s="25"/>
      <c r="B9" s="132" t="s">
        <v>14</v>
      </c>
      <c r="C9" s="3" t="s">
        <v>1</v>
      </c>
      <c r="D9" s="5">
        <f>IF(G11&lt;300000,C5+I5,0)</f>
        <v>36238</v>
      </c>
      <c r="E9" s="33"/>
      <c r="F9" s="34"/>
      <c r="G9" s="34"/>
      <c r="H9" s="34"/>
      <c r="I9" s="34"/>
      <c r="J9" s="34"/>
      <c r="K9" s="35"/>
      <c r="M9" s="69" t="s">
        <v>34</v>
      </c>
      <c r="N9" s="68">
        <f>((N7-N5-N3)*100)+300000</f>
        <v>20847800</v>
      </c>
    </row>
    <row r="10" spans="1:16" ht="15.75" thickBot="1" x14ac:dyDescent="0.3">
      <c r="A10" s="25"/>
      <c r="B10" s="132"/>
      <c r="C10" s="11" t="s">
        <v>2</v>
      </c>
      <c r="D10" s="12">
        <f>D9/4</f>
        <v>9059.5</v>
      </c>
      <c r="E10" s="34"/>
      <c r="F10" s="36" t="s">
        <v>5</v>
      </c>
      <c r="G10" s="71" t="s">
        <v>28</v>
      </c>
      <c r="H10" s="34"/>
      <c r="I10" s="34"/>
      <c r="J10" s="34"/>
      <c r="K10" s="35"/>
      <c r="M10" s="67" t="s">
        <v>41</v>
      </c>
      <c r="N10" s="68">
        <f>IF(G11&gt;N9,G11-N9,N9-G11)</f>
        <v>20847800</v>
      </c>
    </row>
    <row r="11" spans="1:16" ht="15.75" thickBot="1" x14ac:dyDescent="0.3">
      <c r="A11" s="25"/>
      <c r="B11" s="133"/>
      <c r="C11" s="6" t="s">
        <v>3</v>
      </c>
      <c r="D11" s="8">
        <f>D9/12</f>
        <v>3019.8333333333335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6" x14ac:dyDescent="0.25">
      <c r="A12" s="25"/>
      <c r="B12" s="134" t="s">
        <v>15</v>
      </c>
      <c r="C12" s="13" t="s">
        <v>1</v>
      </c>
      <c r="D12" s="14">
        <f>IF(C7=0,0,IF(C7+I5&gt;N7,N7,C7+I5))</f>
        <v>0</v>
      </c>
      <c r="E12" s="26"/>
      <c r="F12" s="162" t="s">
        <v>18</v>
      </c>
      <c r="G12" s="162"/>
      <c r="H12" s="163"/>
      <c r="I12" s="26"/>
      <c r="J12" s="26"/>
      <c r="K12" s="27"/>
      <c r="M12" s="75"/>
    </row>
    <row r="13" spans="1:16"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6" ht="15.75" customHeight="1" thickBot="1" x14ac:dyDescent="0.3">
      <c r="A14" s="25"/>
      <c r="B14" s="136"/>
      <c r="C14" s="16" t="s">
        <v>3</v>
      </c>
      <c r="D14" s="17">
        <f>D12/12</f>
        <v>0</v>
      </c>
      <c r="E14" s="26"/>
      <c r="F14" s="139"/>
      <c r="G14" s="44" t="str">
        <f>G10</f>
        <v>не используется</v>
      </c>
      <c r="H14" s="46" t="s">
        <v>9</v>
      </c>
      <c r="I14" s="164"/>
      <c r="J14" s="165"/>
      <c r="K14" s="166"/>
    </row>
    <row r="15" spans="1:16" ht="15" customHeight="1" thickBot="1" x14ac:dyDescent="0.3">
      <c r="A15" s="25"/>
      <c r="B15" s="146" t="s">
        <v>13</v>
      </c>
      <c r="C15" s="18" t="str">
        <f>IF(D15="ошибка расчета","-------&gt;",C12)</f>
        <v>год</v>
      </c>
      <c r="D15" s="19">
        <f>IF(G11=0,IF((C5*8)+N5&lt;N7,"ошибка расчета",IF((C5*8)+N5&gt;N7,"ошибка расчета",C5*8)),0)</f>
        <v>234832</v>
      </c>
      <c r="E15" s="26"/>
      <c r="F15" s="139" t="s">
        <v>20</v>
      </c>
      <c r="G15" s="44" t="str">
        <f>G10</f>
        <v>не используется</v>
      </c>
      <c r="H15" s="46" t="s">
        <v>8</v>
      </c>
      <c r="I15" s="164"/>
      <c r="J15" s="165"/>
      <c r="K15" s="166"/>
    </row>
    <row r="16" spans="1:16" ht="15" customHeight="1" thickBot="1" x14ac:dyDescent="0.3">
      <c r="A16" s="25"/>
      <c r="B16" s="147"/>
      <c r="C16" s="18" t="str">
        <f>IF(D15="ошибка расчета","-------&gt;",C13)</f>
        <v>кв</v>
      </c>
      <c r="D16" s="21">
        <f>IF(D15="ошибка расчета","необходимо проверить",D15/4)</f>
        <v>58708</v>
      </c>
      <c r="E16" s="26"/>
      <c r="F16" s="139"/>
      <c r="G16" s="72" t="str">
        <f>G10</f>
        <v>не используется</v>
      </c>
      <c r="H16" s="73" t="s">
        <v>9</v>
      </c>
      <c r="I16" s="164"/>
      <c r="J16" s="165"/>
      <c r="K16" s="166"/>
    </row>
    <row r="17" spans="1:17" ht="15.75" customHeight="1" thickBot="1" x14ac:dyDescent="0.3">
      <c r="A17" s="38"/>
      <c r="B17" s="148"/>
      <c r="C17" s="18" t="str">
        <f>IF(D15="ошибка расчета","-------&gt;",C14)</f>
        <v>мес</v>
      </c>
      <c r="D17" s="23">
        <f>IF(D15="ошибка расчета","ставки за год",D15/12)</f>
        <v>19569.333333333332</v>
      </c>
      <c r="E17" s="42"/>
      <c r="F17" s="48" t="s">
        <v>21</v>
      </c>
      <c r="G17" s="149" t="str">
        <f>G10</f>
        <v>не используется</v>
      </c>
      <c r="H17" s="150"/>
      <c r="I17" s="167"/>
      <c r="J17" s="168"/>
      <c r="K17" s="169"/>
      <c r="O17" s="70"/>
      <c r="Q17" s="70"/>
    </row>
    <row r="18" spans="1:17" x14ac:dyDescent="0.25">
      <c r="A18" s="156" t="s">
        <v>26</v>
      </c>
      <c r="B18" s="157"/>
      <c r="C18" s="157"/>
      <c r="D18" s="157"/>
      <c r="E18" s="157"/>
      <c r="F18" s="157"/>
      <c r="G18" s="157"/>
      <c r="H18" s="157"/>
      <c r="I18" s="157"/>
      <c r="J18" s="157"/>
      <c r="K18" s="158"/>
    </row>
    <row r="19" spans="1:17" ht="15.75" thickBot="1" x14ac:dyDescent="0.3">
      <c r="A19" s="159"/>
      <c r="B19" s="160"/>
      <c r="C19" s="160"/>
      <c r="D19" s="160"/>
      <c r="E19" s="160"/>
      <c r="F19" s="160"/>
      <c r="G19" s="160"/>
      <c r="H19" s="160"/>
      <c r="I19" s="160"/>
      <c r="J19" s="160"/>
      <c r="K19" s="161"/>
    </row>
    <row r="20" spans="1:17"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7" x14ac:dyDescent="0.25">
      <c r="B21" s="155"/>
      <c r="C21" s="155"/>
      <c r="D21" s="155"/>
      <c r="E21" s="155"/>
      <c r="F21" s="155"/>
      <c r="G21" s="155"/>
      <c r="H21" s="155"/>
      <c r="I21" s="155"/>
      <c r="J21" s="155"/>
      <c r="K21" s="155"/>
    </row>
    <row r="22" spans="1:17" ht="39.75" customHeight="1" x14ac:dyDescent="0.25">
      <c r="B22" s="155"/>
      <c r="C22" s="155"/>
      <c r="D22" s="155"/>
      <c r="E22" s="155"/>
      <c r="F22" s="155"/>
      <c r="G22" s="155"/>
      <c r="H22" s="155"/>
      <c r="I22" s="155"/>
      <c r="J22" s="155"/>
      <c r="K22" s="155"/>
    </row>
    <row r="23" spans="1:17" x14ac:dyDescent="0.25">
      <c r="B23" s="173"/>
      <c r="C23" s="173"/>
      <c r="D23" s="173"/>
      <c r="E23" s="173"/>
      <c r="F23" s="173"/>
      <c r="G23" s="173"/>
      <c r="H23" s="173"/>
      <c r="I23" s="173"/>
      <c r="J23" s="173"/>
      <c r="K23" s="173"/>
    </row>
    <row r="24" spans="1:17" x14ac:dyDescent="0.25">
      <c r="B24" s="173"/>
      <c r="C24" s="173"/>
      <c r="D24" s="173"/>
      <c r="E24" s="173"/>
      <c r="F24" s="173"/>
      <c r="G24" s="173"/>
      <c r="H24" s="173"/>
      <c r="I24" s="173"/>
      <c r="J24" s="173"/>
      <c r="K24" s="173"/>
    </row>
    <row r="25" spans="1:17" ht="15" customHeight="1" x14ac:dyDescent="0.25">
      <c r="B25" s="153" t="str">
        <f>CONCATENATE("СПРАВОЧНО!!!"," Ставки за год"," ",O2," !!!!!"," Страховая часть фикированного платежа ",N3," руб."," Размер ФФОМС ",N5," руб."," Максимальный размер фиксированногоплатежа ",N7," руб."," Максимальный размер будет достигрут при доходе ",N9," руб.",N11,N10," руб.",M11)</f>
        <v xml:space="preserve">СПРАВОЧНО!!! Ставки за год 2019 !!!!! Страховая часть фикированного платежа 29354 руб. Размер ФФОМС 6884 руб. Максимальный размер фиксированногоплатежа 241716 руб. Максимальный размер будет достигрут при доходе 20847800 руб. До предельного дохода осталось 20847800 руб. </v>
      </c>
      <c r="C25" s="153"/>
      <c r="D25" s="153"/>
      <c r="E25" s="153"/>
      <c r="F25" s="153"/>
      <c r="G25" s="153"/>
      <c r="H25" s="153"/>
      <c r="I25" s="153"/>
      <c r="J25" s="153"/>
      <c r="K25" s="153"/>
    </row>
    <row r="26" spans="1:17" ht="15" customHeight="1" x14ac:dyDescent="0.25">
      <c r="B26" s="153"/>
      <c r="C26" s="153"/>
      <c r="D26" s="153"/>
      <c r="E26" s="153"/>
      <c r="F26" s="153"/>
      <c r="G26" s="153"/>
      <c r="H26" s="153"/>
      <c r="I26" s="153"/>
      <c r="J26" s="153"/>
      <c r="K26" s="153"/>
    </row>
    <row r="27" spans="1:17" ht="15" customHeight="1" x14ac:dyDescent="0.25">
      <c r="B27" s="153"/>
      <c r="C27" s="153"/>
      <c r="D27" s="153"/>
      <c r="E27" s="153"/>
      <c r="F27" s="153"/>
      <c r="G27" s="153"/>
      <c r="H27" s="153"/>
      <c r="I27" s="153"/>
      <c r="J27" s="153"/>
      <c r="K27" s="153"/>
    </row>
    <row r="28" spans="1:17" ht="15" customHeight="1" x14ac:dyDescent="0.25">
      <c r="B28" s="153"/>
      <c r="C28" s="153"/>
      <c r="D28" s="153"/>
      <c r="E28" s="153"/>
      <c r="F28" s="153"/>
      <c r="G28" s="153"/>
      <c r="H28" s="153"/>
      <c r="I28" s="153"/>
      <c r="J28" s="153"/>
      <c r="K28" s="153"/>
    </row>
    <row r="29" spans="1:17" ht="15" customHeight="1" x14ac:dyDescent="0.25">
      <c r="B29" s="153"/>
      <c r="C29" s="153"/>
      <c r="D29" s="153"/>
      <c r="E29" s="153"/>
      <c r="F29" s="153"/>
      <c r="G29" s="153"/>
      <c r="H29" s="153"/>
      <c r="I29" s="153"/>
      <c r="J29" s="153"/>
      <c r="K29" s="153"/>
    </row>
    <row r="30" spans="1:17" ht="15" customHeight="1" x14ac:dyDescent="0.25">
      <c r="B30" s="153"/>
      <c r="C30" s="153"/>
      <c r="D30" s="153"/>
      <c r="E30" s="153"/>
      <c r="F30" s="153"/>
      <c r="G30" s="153"/>
      <c r="H30" s="153"/>
      <c r="I30" s="153"/>
      <c r="J30" s="153"/>
      <c r="K30" s="153"/>
    </row>
    <row r="31" spans="1:17" ht="15" customHeight="1" x14ac:dyDescent="0.25">
      <c r="B31" s="153"/>
      <c r="C31" s="153"/>
      <c r="D31" s="153"/>
      <c r="E31" s="153"/>
      <c r="F31" s="153"/>
      <c r="G31" s="153"/>
      <c r="H31" s="153"/>
      <c r="I31" s="153"/>
      <c r="J31" s="153"/>
      <c r="K31" s="153"/>
    </row>
    <row r="32" spans="1:17"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6">
    <mergeCell ref="B25:K42"/>
    <mergeCell ref="F5:H8"/>
    <mergeCell ref="I5:I8"/>
    <mergeCell ref="J5:J8"/>
    <mergeCell ref="M2:N2"/>
    <mergeCell ref="B3:B4"/>
    <mergeCell ref="C3:E3"/>
    <mergeCell ref="F3:H3"/>
    <mergeCell ref="I3:K3"/>
    <mergeCell ref="B1:K2"/>
    <mergeCell ref="B20:K22"/>
    <mergeCell ref="K5:K8"/>
    <mergeCell ref="B23:K24"/>
    <mergeCell ref="A5:A6"/>
    <mergeCell ref="B5:B6"/>
    <mergeCell ref="A7:A8"/>
    <mergeCell ref="B7:B8"/>
    <mergeCell ref="A18:K19"/>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Normal="100" workbookViewId="0">
      <selection activeCell="G11" sqref="G11"/>
    </sheetView>
  </sheetViews>
  <sheetFormatPr defaultRowHeight="15" x14ac:dyDescent="0.25"/>
  <cols>
    <col min="1" max="1" width="4.85546875" style="64" customWidth="1"/>
    <col min="2" max="2" width="14" style="74" bestFit="1" customWidth="1"/>
    <col min="3" max="3" width="11.5703125" style="74" customWidth="1"/>
    <col min="4" max="4" width="16.85546875" style="74" customWidth="1"/>
    <col min="5" max="11" width="11.5703125" style="74" customWidth="1"/>
    <col min="12" max="12" width="9.140625" style="64"/>
    <col min="13" max="13" width="15.140625" style="64" hidden="1" customWidth="1"/>
    <col min="14" max="14" width="16.28515625" style="65" hidden="1" customWidth="1"/>
    <col min="15" max="15" width="0" style="64" hidden="1" customWidth="1"/>
    <col min="16" max="16384" width="9.140625" style="64"/>
  </cols>
  <sheetData>
    <row r="1" spans="1:15" ht="15" customHeight="1" x14ac:dyDescent="0.25">
      <c r="A1" s="24"/>
      <c r="B1" s="171" t="str">
        <f>CONCATENATE("Фиксированные платежи ИП в ПФР ",O2," год")</f>
        <v>Фиксированные платежи ИП в ПФР 2020 год</v>
      </c>
      <c r="C1" s="171"/>
      <c r="D1" s="171"/>
      <c r="E1" s="171"/>
      <c r="F1" s="171"/>
      <c r="G1" s="171"/>
      <c r="H1" s="171"/>
      <c r="I1" s="171"/>
      <c r="J1" s="171"/>
      <c r="K1" s="171"/>
      <c r="O1" s="64" t="s">
        <v>35</v>
      </c>
    </row>
    <row r="2" spans="1:15" ht="15.75" customHeight="1" thickBot="1" x14ac:dyDescent="0.3">
      <c r="A2" s="25"/>
      <c r="B2" s="172"/>
      <c r="C2" s="172"/>
      <c r="D2" s="172"/>
      <c r="E2" s="172"/>
      <c r="F2" s="172"/>
      <c r="G2" s="172"/>
      <c r="H2" s="172"/>
      <c r="I2" s="172"/>
      <c r="J2" s="172"/>
      <c r="K2" s="172"/>
      <c r="M2" s="170" t="s">
        <v>31</v>
      </c>
      <c r="N2" s="170"/>
      <c r="O2" s="66" t="s">
        <v>36</v>
      </c>
    </row>
    <row r="3" spans="1:15" x14ac:dyDescent="0.25">
      <c r="A3" s="25"/>
      <c r="B3" s="96"/>
      <c r="C3" s="93" t="s">
        <v>6</v>
      </c>
      <c r="D3" s="94"/>
      <c r="E3" s="95"/>
      <c r="F3" s="93" t="s">
        <v>7</v>
      </c>
      <c r="G3" s="94"/>
      <c r="H3" s="94"/>
      <c r="I3" s="93" t="s">
        <v>0</v>
      </c>
      <c r="J3" s="94"/>
      <c r="K3" s="95"/>
      <c r="M3" s="67" t="s">
        <v>29</v>
      </c>
      <c r="N3" s="68">
        <v>32448</v>
      </c>
    </row>
    <row r="4" spans="1:15" ht="15.75" thickBot="1" x14ac:dyDescent="0.3">
      <c r="A4" s="25"/>
      <c r="B4" s="97"/>
      <c r="C4" s="28" t="s">
        <v>1</v>
      </c>
      <c r="D4" s="29" t="s">
        <v>2</v>
      </c>
      <c r="E4" s="30" t="s">
        <v>3</v>
      </c>
      <c r="F4" s="51" t="s">
        <v>1</v>
      </c>
      <c r="G4" s="52" t="s">
        <v>2</v>
      </c>
      <c r="H4" s="53" t="s">
        <v>3</v>
      </c>
      <c r="I4" s="28" t="s">
        <v>1</v>
      </c>
      <c r="J4" s="29" t="s">
        <v>2</v>
      </c>
      <c r="K4" s="30" t="s">
        <v>3</v>
      </c>
      <c r="M4" s="62" t="s">
        <v>30</v>
      </c>
      <c r="N4" s="68">
        <v>0</v>
      </c>
    </row>
    <row r="5" spans="1:15" ht="15" customHeight="1" x14ac:dyDescent="0.25">
      <c r="A5" s="103"/>
      <c r="B5" s="110" t="s">
        <v>17</v>
      </c>
      <c r="C5" s="9">
        <f>IF(G11&lt;300000.01,N3,0)</f>
        <v>32448</v>
      </c>
      <c r="D5" s="56">
        <f>C5/4</f>
        <v>8112</v>
      </c>
      <c r="E5" s="57">
        <f>C5/12</f>
        <v>2704</v>
      </c>
      <c r="F5" s="111"/>
      <c r="G5" s="112"/>
      <c r="H5" s="113"/>
      <c r="I5" s="120">
        <f>N5</f>
        <v>8426</v>
      </c>
      <c r="J5" s="123">
        <f>I5/4</f>
        <v>2106.5</v>
      </c>
      <c r="K5" s="100">
        <f>I5/12</f>
        <v>702.16666666666663</v>
      </c>
      <c r="M5" s="67" t="s">
        <v>21</v>
      </c>
      <c r="N5" s="68">
        <v>8426</v>
      </c>
    </row>
    <row r="6" spans="1:15" ht="15.75" hidden="1" customHeight="1" thickBot="1" x14ac:dyDescent="0.3">
      <c r="A6" s="103"/>
      <c r="B6" s="104"/>
      <c r="C6" s="3" t="e">
        <f>IF(G11&lt;300001,G10*G14*12,"-")</f>
        <v>#VALUE!</v>
      </c>
      <c r="D6" s="7" t="e">
        <f>C6/4</f>
        <v>#VALUE!</v>
      </c>
      <c r="E6" s="50" t="e">
        <f>C6/12</f>
        <v>#VALUE!</v>
      </c>
      <c r="F6" s="114"/>
      <c r="G6" s="115"/>
      <c r="H6" s="116"/>
      <c r="I6" s="121"/>
      <c r="J6" s="124"/>
      <c r="K6" s="101"/>
    </row>
    <row r="7" spans="1:15" ht="15" customHeight="1" x14ac:dyDescent="0.25">
      <c r="A7" s="103"/>
      <c r="B7" s="104" t="s">
        <v>23</v>
      </c>
      <c r="C7" s="3">
        <f>IF(G11&gt;300000,N3+((G11-300000)/100*1),0)</f>
        <v>0</v>
      </c>
      <c r="D7" s="4">
        <f>C7/4</f>
        <v>0</v>
      </c>
      <c r="E7" s="49">
        <f>C7/12</f>
        <v>0</v>
      </c>
      <c r="F7" s="114"/>
      <c r="G7" s="115"/>
      <c r="H7" s="116"/>
      <c r="I7" s="121"/>
      <c r="J7" s="124"/>
      <c r="K7" s="101"/>
      <c r="M7" s="69" t="s">
        <v>32</v>
      </c>
      <c r="N7" s="68">
        <f>(N3*8)+N5</f>
        <v>268010</v>
      </c>
    </row>
    <row r="8" spans="1:15" ht="15.75" hidden="1" customHeight="1" thickBot="1" x14ac:dyDescent="0.3">
      <c r="A8" s="103"/>
      <c r="B8" s="105"/>
      <c r="C8" s="58" t="str">
        <f>IF(G11&gt;300000,G10*G14*12+((G11-300000)*1%),"-")</f>
        <v>-</v>
      </c>
      <c r="D8" s="7" t="e">
        <f>C8/4</f>
        <v>#VALUE!</v>
      </c>
      <c r="E8" s="50" t="e">
        <f>C8/12</f>
        <v>#VALUE!</v>
      </c>
      <c r="F8" s="117"/>
      <c r="G8" s="118"/>
      <c r="H8" s="119"/>
      <c r="I8" s="122"/>
      <c r="J8" s="125"/>
      <c r="K8" s="102"/>
    </row>
    <row r="9" spans="1:15" ht="15.75" thickBot="1" x14ac:dyDescent="0.3">
      <c r="A9" s="25"/>
      <c r="B9" s="132" t="s">
        <v>14</v>
      </c>
      <c r="C9" s="3" t="s">
        <v>1</v>
      </c>
      <c r="D9" s="5">
        <f>IF(G11&lt;300000,C5+I5,0)</f>
        <v>40874</v>
      </c>
      <c r="E9" s="33"/>
      <c r="F9" s="34"/>
      <c r="G9" s="34"/>
      <c r="H9" s="34"/>
      <c r="I9" s="34"/>
      <c r="J9" s="34"/>
      <c r="K9" s="35"/>
      <c r="M9" s="69" t="s">
        <v>34</v>
      </c>
      <c r="N9" s="68">
        <f>((N7-N5-N3)*100)+300000</f>
        <v>23013600</v>
      </c>
    </row>
    <row r="10" spans="1:15" ht="15.75" thickBot="1" x14ac:dyDescent="0.3">
      <c r="A10" s="25"/>
      <c r="B10" s="132"/>
      <c r="C10" s="11" t="s">
        <v>2</v>
      </c>
      <c r="D10" s="12">
        <f>D9/4</f>
        <v>10218.5</v>
      </c>
      <c r="E10" s="34"/>
      <c r="F10" s="36" t="s">
        <v>5</v>
      </c>
      <c r="G10" s="71" t="s">
        <v>28</v>
      </c>
      <c r="H10" s="34"/>
      <c r="I10" s="34"/>
      <c r="J10" s="34"/>
      <c r="K10" s="35"/>
      <c r="M10" s="67" t="s">
        <v>41</v>
      </c>
      <c r="N10" s="68">
        <f>IF(G11&gt;N9,G11-N9,N9-G11)</f>
        <v>23013600</v>
      </c>
    </row>
    <row r="11" spans="1:15" ht="15.75" thickBot="1" x14ac:dyDescent="0.3">
      <c r="A11" s="25"/>
      <c r="B11" s="133"/>
      <c r="C11" s="6" t="s">
        <v>3</v>
      </c>
      <c r="D11" s="8">
        <f>D9/12</f>
        <v>3406.1666666666665</v>
      </c>
      <c r="E11" s="34"/>
      <c r="F11" s="54" t="s">
        <v>12</v>
      </c>
      <c r="G11" s="61"/>
      <c r="H11" s="34"/>
      <c r="I11" s="41"/>
      <c r="J11" s="34"/>
      <c r="K11" s="35"/>
      <c r="M11" s="76" t="str">
        <f>IF(G11&gt;N9,CONCATENATE(" Напоминаем, что у спецрежимов налогооблажения УСН, ПСН имеется предел возможного дохода, при котором возможно применение данных режимов! Рекомендуем ознакомится с действующими пределами ",O2," года во избежании потери права применения спецрежима!!!")," ")</f>
        <v xml:space="preserve"> </v>
      </c>
      <c r="N11" s="68" t="str">
        <f>IF(G11&gt;N9," Предельний доход превышен на "," До предельного дохода осталось ")</f>
        <v xml:space="preserve"> До предельного дохода осталось </v>
      </c>
    </row>
    <row r="12" spans="1:15" x14ac:dyDescent="0.25">
      <c r="A12" s="25"/>
      <c r="B12" s="134" t="s">
        <v>15</v>
      </c>
      <c r="C12" s="13" t="s">
        <v>1</v>
      </c>
      <c r="D12" s="14">
        <f>IF(C7=0,0,IF(C7+I5&gt;N7,N7,C7+I5))</f>
        <v>0</v>
      </c>
      <c r="E12" s="26"/>
      <c r="F12" s="162" t="s">
        <v>18</v>
      </c>
      <c r="G12" s="162"/>
      <c r="H12" s="163"/>
      <c r="I12" s="26"/>
      <c r="J12" s="26"/>
      <c r="K12" s="27"/>
    </row>
    <row r="13" spans="1:15" ht="15" customHeight="1" x14ac:dyDescent="0.25">
      <c r="A13" s="25"/>
      <c r="B13" s="135"/>
      <c r="C13" s="15" t="s">
        <v>2</v>
      </c>
      <c r="D13" s="12">
        <f>D12/4</f>
        <v>0</v>
      </c>
      <c r="E13" s="26"/>
      <c r="F13" s="139" t="s">
        <v>19</v>
      </c>
      <c r="G13" s="44" t="str">
        <f t="shared" ref="G13" si="0">G10</f>
        <v>не используется</v>
      </c>
      <c r="H13" s="46" t="s">
        <v>8</v>
      </c>
      <c r="I13" s="164" t="s">
        <v>16</v>
      </c>
      <c r="J13" s="165"/>
      <c r="K13" s="166"/>
    </row>
    <row r="14" spans="1:15" ht="15.75" customHeight="1" thickBot="1" x14ac:dyDescent="0.3">
      <c r="A14" s="25"/>
      <c r="B14" s="136"/>
      <c r="C14" s="16" t="s">
        <v>3</v>
      </c>
      <c r="D14" s="17">
        <f>D12/12</f>
        <v>0</v>
      </c>
      <c r="E14" s="26"/>
      <c r="F14" s="139"/>
      <c r="G14" s="44" t="str">
        <f>G10</f>
        <v>не используется</v>
      </c>
      <c r="H14" s="46" t="s">
        <v>9</v>
      </c>
      <c r="I14" s="164"/>
      <c r="J14" s="165"/>
      <c r="K14" s="166"/>
    </row>
    <row r="15" spans="1:15" ht="15" customHeight="1" thickBot="1" x14ac:dyDescent="0.3">
      <c r="A15" s="25"/>
      <c r="B15" s="146" t="s">
        <v>13</v>
      </c>
      <c r="C15" s="18" t="str">
        <f>IF(D15="ошибка расчета","-------&gt;",C12)</f>
        <v>год</v>
      </c>
      <c r="D15" s="19">
        <f>IF(G11=0,IF((C5*8)+N5&lt;N7,"ошибка расчета",IF((C5*8)+N5&gt;N7,"ошибка расчета",C5*8)),0)</f>
        <v>259584</v>
      </c>
      <c r="E15" s="26"/>
      <c r="F15" s="139" t="s">
        <v>20</v>
      </c>
      <c r="G15" s="44" t="str">
        <f>G10</f>
        <v>не используется</v>
      </c>
      <c r="H15" s="46" t="s">
        <v>8</v>
      </c>
      <c r="I15" s="164"/>
      <c r="J15" s="165"/>
      <c r="K15" s="166"/>
    </row>
    <row r="16" spans="1:15" ht="15" customHeight="1" thickBot="1" x14ac:dyDescent="0.3">
      <c r="A16" s="25"/>
      <c r="B16" s="147"/>
      <c r="C16" s="18" t="str">
        <f>IF(D15="ошибка расчета","-------&gt;",C13)</f>
        <v>кв</v>
      </c>
      <c r="D16" s="21">
        <f>IF(D15="ошибка расчета","необходимо проверить",D15/4)</f>
        <v>64896</v>
      </c>
      <c r="E16" s="26"/>
      <c r="F16" s="139"/>
      <c r="G16" s="72" t="str">
        <f>G10</f>
        <v>не используется</v>
      </c>
      <c r="H16" s="73" t="s">
        <v>9</v>
      </c>
      <c r="I16" s="164"/>
      <c r="J16" s="165"/>
      <c r="K16" s="166"/>
    </row>
    <row r="17" spans="1:11" ht="15.75" customHeight="1" thickBot="1" x14ac:dyDescent="0.3">
      <c r="A17" s="38"/>
      <c r="B17" s="148"/>
      <c r="C17" s="18" t="str">
        <f>IF(D15="ошибка расчета","-------&gt;",C14)</f>
        <v>мес</v>
      </c>
      <c r="D17" s="23">
        <f>IF(D15="ошибка расчета","ставки за год",D15/12)</f>
        <v>21632</v>
      </c>
      <c r="E17" s="42"/>
      <c r="F17" s="48" t="s">
        <v>21</v>
      </c>
      <c r="G17" s="149" t="str">
        <f>G10</f>
        <v>не используется</v>
      </c>
      <c r="H17" s="150"/>
      <c r="I17" s="167"/>
      <c r="J17" s="168"/>
      <c r="K17" s="169"/>
    </row>
    <row r="18" spans="1:11" x14ac:dyDescent="0.25">
      <c r="A18" s="156" t="s">
        <v>26</v>
      </c>
      <c r="B18" s="157"/>
      <c r="C18" s="157"/>
      <c r="D18" s="157"/>
      <c r="E18" s="157"/>
      <c r="F18" s="157"/>
      <c r="G18" s="157"/>
      <c r="H18" s="157"/>
      <c r="I18" s="157"/>
      <c r="J18" s="157"/>
      <c r="K18" s="158"/>
    </row>
    <row r="19" spans="1:11" ht="15.75" thickBot="1" x14ac:dyDescent="0.3">
      <c r="A19" s="159"/>
      <c r="B19" s="160"/>
      <c r="C19" s="160"/>
      <c r="D19" s="160"/>
      <c r="E19" s="160"/>
      <c r="F19" s="160"/>
      <c r="G19" s="160"/>
      <c r="H19" s="160"/>
      <c r="I19" s="160"/>
      <c r="J19" s="160"/>
      <c r="K19" s="161"/>
    </row>
    <row r="20" spans="1:11" x14ac:dyDescent="0.25">
      <c r="B20" s="154" t="str">
        <f>IF(C7+I5&gt;N7,CONCATENATE("Вы достигли Максимального размера страховых взносов в размере ",N7," поэтому 1% с дохода больше не начисляется!!!")," ")</f>
        <v xml:space="preserve"> </v>
      </c>
      <c r="C20" s="154"/>
      <c r="D20" s="154"/>
      <c r="E20" s="154"/>
      <c r="F20" s="154"/>
      <c r="G20" s="154"/>
      <c r="H20" s="154"/>
      <c r="I20" s="154"/>
      <c r="J20" s="154"/>
      <c r="K20" s="154"/>
    </row>
    <row r="21" spans="1:11" x14ac:dyDescent="0.25">
      <c r="B21" s="155"/>
      <c r="C21" s="155"/>
      <c r="D21" s="155"/>
      <c r="E21" s="155"/>
      <c r="F21" s="155"/>
      <c r="G21" s="155"/>
      <c r="H21" s="155"/>
      <c r="I21" s="155"/>
      <c r="J21" s="155"/>
      <c r="K21" s="155"/>
    </row>
    <row r="22" spans="1:11" ht="33" customHeight="1" x14ac:dyDescent="0.25">
      <c r="B22" s="155"/>
      <c r="C22" s="155"/>
      <c r="D22" s="155"/>
      <c r="E22" s="155"/>
      <c r="F22" s="155"/>
      <c r="G22" s="155"/>
      <c r="H22" s="155"/>
      <c r="I22" s="155"/>
      <c r="J22" s="155"/>
      <c r="K22" s="155"/>
    </row>
    <row r="25" spans="1:11" ht="15" customHeight="1" x14ac:dyDescent="0.25">
      <c r="B25" s="153" t="str">
        <f>CONCATENATE("СПРАВОЧНО!!!"," Ставки за год"," ",O2," !!!!!"," Страховая часть фикированного платежа ",N3," руб."," Размер ФФОМС ",N5," руб."," Максимальный размер фиксированногоплатежа ",N7," руб."," Максимальный размер будет достигрут при доходе ",N9," руб.",N11,N10," руб.",M11)</f>
        <v xml:space="preserve">СПРАВОЧНО!!! Ставки за год 2020 !!!!! Страховая часть фикированного платежа 32448 руб. Размер ФФОМС 8426 руб. Максимальный размер фиксированногоплатежа 268010 руб. Максимальный размер будет достигрут при доходе 23013600 руб. До предельного дохода осталось 23013600 руб. </v>
      </c>
      <c r="C25" s="153"/>
      <c r="D25" s="153"/>
      <c r="E25" s="153"/>
      <c r="F25" s="153"/>
      <c r="G25" s="153"/>
      <c r="H25" s="153"/>
      <c r="I25" s="153"/>
      <c r="J25" s="153"/>
      <c r="K25" s="153"/>
    </row>
    <row r="26" spans="1:11" ht="15" customHeight="1" x14ac:dyDescent="0.25">
      <c r="B26" s="153"/>
      <c r="C26" s="153"/>
      <c r="D26" s="153"/>
      <c r="E26" s="153"/>
      <c r="F26" s="153"/>
      <c r="G26" s="153"/>
      <c r="H26" s="153"/>
      <c r="I26" s="153"/>
      <c r="J26" s="153"/>
      <c r="K26" s="153"/>
    </row>
    <row r="27" spans="1:11" ht="15" customHeight="1" x14ac:dyDescent="0.25">
      <c r="B27" s="153"/>
      <c r="C27" s="153"/>
      <c r="D27" s="153"/>
      <c r="E27" s="153"/>
      <c r="F27" s="153"/>
      <c r="G27" s="153"/>
      <c r="H27" s="153"/>
      <c r="I27" s="153"/>
      <c r="J27" s="153"/>
      <c r="K27" s="153"/>
    </row>
    <row r="28" spans="1:11" ht="15" customHeight="1" x14ac:dyDescent="0.25">
      <c r="B28" s="153"/>
      <c r="C28" s="153"/>
      <c r="D28" s="153"/>
      <c r="E28" s="153"/>
      <c r="F28" s="153"/>
      <c r="G28" s="153"/>
      <c r="H28" s="153"/>
      <c r="I28" s="153"/>
      <c r="J28" s="153"/>
      <c r="K28" s="153"/>
    </row>
    <row r="29" spans="1:11" ht="15" customHeight="1" x14ac:dyDescent="0.25">
      <c r="B29" s="153"/>
      <c r="C29" s="153"/>
      <c r="D29" s="153"/>
      <c r="E29" s="153"/>
      <c r="F29" s="153"/>
      <c r="G29" s="153"/>
      <c r="H29" s="153"/>
      <c r="I29" s="153"/>
      <c r="J29" s="153"/>
      <c r="K29" s="153"/>
    </row>
    <row r="30" spans="1:11" ht="15" customHeight="1" x14ac:dyDescent="0.25">
      <c r="B30" s="153"/>
      <c r="C30" s="153"/>
      <c r="D30" s="153"/>
      <c r="E30" s="153"/>
      <c r="F30" s="153"/>
      <c r="G30" s="153"/>
      <c r="H30" s="153"/>
      <c r="I30" s="153"/>
      <c r="J30" s="153"/>
      <c r="K30" s="153"/>
    </row>
    <row r="31" spans="1:11" ht="15" customHeight="1" x14ac:dyDescent="0.25">
      <c r="B31" s="153"/>
      <c r="C31" s="153"/>
      <c r="D31" s="153"/>
      <c r="E31" s="153"/>
      <c r="F31" s="153"/>
      <c r="G31" s="153"/>
      <c r="H31" s="153"/>
      <c r="I31" s="153"/>
      <c r="J31" s="153"/>
      <c r="K31" s="153"/>
    </row>
    <row r="32" spans="1:11" ht="15" customHeight="1" x14ac:dyDescent="0.25">
      <c r="B32" s="153"/>
      <c r="C32" s="153"/>
      <c r="D32" s="153"/>
      <c r="E32" s="153"/>
      <c r="F32" s="153"/>
      <c r="G32" s="153"/>
      <c r="H32" s="153"/>
      <c r="I32" s="153"/>
      <c r="J32" s="153"/>
      <c r="K32" s="153"/>
    </row>
    <row r="33" spans="2:11" ht="15" customHeight="1" x14ac:dyDescent="0.25">
      <c r="B33" s="153"/>
      <c r="C33" s="153"/>
      <c r="D33" s="153"/>
      <c r="E33" s="153"/>
      <c r="F33" s="153"/>
      <c r="G33" s="153"/>
      <c r="H33" s="153"/>
      <c r="I33" s="153"/>
      <c r="J33" s="153"/>
      <c r="K33" s="153"/>
    </row>
    <row r="34" spans="2:11" ht="15" customHeight="1" x14ac:dyDescent="0.25">
      <c r="B34" s="153"/>
      <c r="C34" s="153"/>
      <c r="D34" s="153"/>
      <c r="E34" s="153"/>
      <c r="F34" s="153"/>
      <c r="G34" s="153"/>
      <c r="H34" s="153"/>
      <c r="I34" s="153"/>
      <c r="J34" s="153"/>
      <c r="K34" s="153"/>
    </row>
    <row r="35" spans="2:11" ht="15" customHeight="1" x14ac:dyDescent="0.25">
      <c r="B35" s="153"/>
      <c r="C35" s="153"/>
      <c r="D35" s="153"/>
      <c r="E35" s="153"/>
      <c r="F35" s="153"/>
      <c r="G35" s="153"/>
      <c r="H35" s="153"/>
      <c r="I35" s="153"/>
      <c r="J35" s="153"/>
      <c r="K35" s="153"/>
    </row>
    <row r="36" spans="2:11" ht="15" customHeight="1" x14ac:dyDescent="0.25">
      <c r="B36" s="153"/>
      <c r="C36" s="153"/>
      <c r="D36" s="153"/>
      <c r="E36" s="153"/>
      <c r="F36" s="153"/>
      <c r="G36" s="153"/>
      <c r="H36" s="153"/>
      <c r="I36" s="153"/>
      <c r="J36" s="153"/>
      <c r="K36" s="153"/>
    </row>
    <row r="37" spans="2:11" ht="15" customHeight="1" x14ac:dyDescent="0.25">
      <c r="B37" s="153"/>
      <c r="C37" s="153"/>
      <c r="D37" s="153"/>
      <c r="E37" s="153"/>
      <c r="F37" s="153"/>
      <c r="G37" s="153"/>
      <c r="H37" s="153"/>
      <c r="I37" s="153"/>
      <c r="J37" s="153"/>
      <c r="K37" s="153"/>
    </row>
    <row r="38" spans="2:11" x14ac:dyDescent="0.25">
      <c r="B38" s="153"/>
      <c r="C38" s="153"/>
      <c r="D38" s="153"/>
      <c r="E38" s="153"/>
      <c r="F38" s="153"/>
      <c r="G38" s="153"/>
      <c r="H38" s="153"/>
      <c r="I38" s="153"/>
      <c r="J38" s="153"/>
      <c r="K38" s="153"/>
    </row>
    <row r="39" spans="2:11" x14ac:dyDescent="0.25">
      <c r="B39" s="153"/>
      <c r="C39" s="153"/>
      <c r="D39" s="153"/>
      <c r="E39" s="153"/>
      <c r="F39" s="153"/>
      <c r="G39" s="153"/>
      <c r="H39" s="153"/>
      <c r="I39" s="153"/>
      <c r="J39" s="153"/>
      <c r="K39" s="153"/>
    </row>
    <row r="40" spans="2:11" x14ac:dyDescent="0.25">
      <c r="B40" s="153"/>
      <c r="C40" s="153"/>
      <c r="D40" s="153"/>
      <c r="E40" s="153"/>
      <c r="F40" s="153"/>
      <c r="G40" s="153"/>
      <c r="H40" s="153"/>
      <c r="I40" s="153"/>
      <c r="J40" s="153"/>
      <c r="K40" s="153"/>
    </row>
    <row r="41" spans="2:11" x14ac:dyDescent="0.25">
      <c r="B41" s="153"/>
      <c r="C41" s="153"/>
      <c r="D41" s="153"/>
      <c r="E41" s="153"/>
      <c r="F41" s="153"/>
      <c r="G41" s="153"/>
      <c r="H41" s="153"/>
      <c r="I41" s="153"/>
      <c r="J41" s="153"/>
      <c r="K41" s="153"/>
    </row>
    <row r="42" spans="2:11" x14ac:dyDescent="0.25">
      <c r="B42" s="153"/>
      <c r="C42" s="153"/>
      <c r="D42" s="153"/>
      <c r="E42" s="153"/>
      <c r="F42" s="153"/>
      <c r="G42" s="153"/>
      <c r="H42" s="153"/>
      <c r="I42" s="153"/>
      <c r="J42" s="153"/>
      <c r="K42" s="153"/>
    </row>
  </sheetData>
  <sheetProtection password="C555" sheet="1" objects="1" scenarios="1" formatCells="0" formatColumns="0" formatRows="0" insertColumns="0" insertRows="0" insertHyperlinks="0" deleteColumns="0" deleteRows="0" sort="0" autoFilter="0" pivotTables="0"/>
  <mergeCells count="25">
    <mergeCell ref="B25:K42"/>
    <mergeCell ref="F5:H8"/>
    <mergeCell ref="I5:I8"/>
    <mergeCell ref="J5:J8"/>
    <mergeCell ref="M2:N2"/>
    <mergeCell ref="B3:B4"/>
    <mergeCell ref="C3:E3"/>
    <mergeCell ref="F3:H3"/>
    <mergeCell ref="I3:K3"/>
    <mergeCell ref="B1:K2"/>
    <mergeCell ref="B20:K22"/>
    <mergeCell ref="K5:K8"/>
    <mergeCell ref="A5:A6"/>
    <mergeCell ref="B5:B6"/>
    <mergeCell ref="A7:A8"/>
    <mergeCell ref="B7:B8"/>
    <mergeCell ref="A18:K19"/>
    <mergeCell ref="B9:B11"/>
    <mergeCell ref="B12:B14"/>
    <mergeCell ref="F12:H12"/>
    <mergeCell ref="F13:F14"/>
    <mergeCell ref="I13:K17"/>
    <mergeCell ref="B15:B17"/>
    <mergeCell ref="F15:F16"/>
    <mergeCell ref="G17:H17"/>
  </mergeCells>
  <hyperlinks>
    <hyperlink ref="G10" r:id="rId1"/>
  </hyperlinks>
  <pageMargins left="0.7" right="0.7" top="0.75" bottom="0.75" header="0.3" footer="0.3"/>
  <pageSetup paperSize="9" scale="6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11</vt:i4>
      </vt:variant>
    </vt:vector>
  </HeadingPairs>
  <TitlesOfParts>
    <vt:vector size="28" baseType="lpstr">
      <vt:lpstr>Динамика</vt:lpstr>
      <vt:lpstr>2013</vt:lpstr>
      <vt:lpstr>2014</vt:lpstr>
      <vt:lpstr>2015</vt:lpstr>
      <vt:lpstr>2016</vt:lpstr>
      <vt:lpstr>2017</vt:lpstr>
      <vt:lpstr>2018</vt:lpstr>
      <vt:lpstr>2019</vt:lpstr>
      <vt:lpstr>2020</vt:lpstr>
      <vt:lpstr>2021</vt:lpstr>
      <vt:lpstr>2022</vt:lpstr>
      <vt:lpstr>2023</vt:lpstr>
      <vt:lpstr>2024</vt:lpstr>
      <vt:lpstr>2025</vt:lpstr>
      <vt:lpstr>2026</vt:lpstr>
      <vt:lpstr>2027</vt:lpstr>
      <vt:lpstr>Пустышка</vt:lpstr>
      <vt:lpstr>'2018'!Область_печати</vt:lpstr>
      <vt:lpstr>'2019'!Область_печати</vt:lpstr>
      <vt:lpstr>'2020'!Область_печати</vt:lpstr>
      <vt:lpstr>'2021'!Область_печати</vt:lpstr>
      <vt:lpstr>'2022'!Область_печати</vt:lpstr>
      <vt:lpstr>'2023'!Область_печати</vt:lpstr>
      <vt:lpstr>'2024'!Область_печати</vt:lpstr>
      <vt:lpstr>'2025'!Область_печати</vt:lpstr>
      <vt:lpstr>'2026'!Область_печати</vt:lpstr>
      <vt:lpstr>'2027'!Область_печати</vt:lpstr>
      <vt:lpstr>Пустышка!Область_печати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Леонид</cp:lastModifiedBy>
  <cp:lastPrinted>2023-11-24T13:30:13Z</cp:lastPrinted>
  <dcterms:created xsi:type="dcterms:W3CDTF">2012-12-18T08:13:08Z</dcterms:created>
  <dcterms:modified xsi:type="dcterms:W3CDTF">2024-07-12T11:57:52Z</dcterms:modified>
</cp:coreProperties>
</file>